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E:\FORMULA RATES SPP\Annual Update AEP West Trans\True Ups\2024 Annual Update\Transco_OKTCo_SWTCo\Filed Documents\"/>
    </mc:Choice>
  </mc:AlternateContent>
  <xr:revisionPtr revIDLastSave="0" documentId="14_{31AD7F05-F263-4008-BF70-DC54AD55A20F}" xr6:coauthVersionLast="47" xr6:coauthVersionMax="47" xr10:uidLastSave="{00000000-0000-0000-0000-000000000000}"/>
  <bookViews>
    <workbookView xWindow="52680" yWindow="-120" windowWidth="24240" windowHeight="13020" activeTab="1" xr2:uid="{00000000-000D-0000-FFFF-FFFF00000000}"/>
  </bookViews>
  <sheets>
    <sheet name="Instructions" sheetId="33" r:id="rId1"/>
    <sheet name="Summary" sheetId="29" r:id="rId2"/>
    <sheet name="Pivot" sheetId="31" r:id="rId3"/>
    <sheet name="Transactions" sheetId="18" r:id="rId4"/>
  </sheets>
  <definedNames>
    <definedName name="_xlnm._FilterDatabase" localSheetId="3" hidden="1">Transactions!$A$15:$R$211</definedName>
    <definedName name="AS1_1999" localSheetId="3">Transactions!$C$19:$J$26</definedName>
    <definedName name="AS1_1999">#REF!</definedName>
    <definedName name="Avg_Annual_FERC_Rate">#REF!</definedName>
    <definedName name="etec">#REF!</definedName>
    <definedName name="fake">#REF!</definedName>
    <definedName name="greenbelt">#REF!</definedName>
    <definedName name="janetec">#REF!</definedName>
    <definedName name="lighthouse">#REF!</definedName>
    <definedName name="ntec">#REF!</definedName>
    <definedName name="ompa">#REF!</definedName>
    <definedName name="_xlnm.Print_Area" localSheetId="0">Instructions!$A$1:$Q$18</definedName>
    <definedName name="_xlnm.Print_Area" localSheetId="1">Summary!$C$1:$I$40</definedName>
    <definedName name="_xlnm.Print_Area" localSheetId="3">Transactions!$A$1:$R$211</definedName>
    <definedName name="_xlnm.Print_Titles" localSheetId="2">Pivot!$3:$4</definedName>
    <definedName name="_xlnm.Print_Titles" localSheetId="3">Transactions!$B:$E,Transactions!$1:$19</definedName>
    <definedName name="ss1et">#REF!</definedName>
    <definedName name="ss1gb">#REF!</definedName>
    <definedName name="ss1lh">#REF!</definedName>
    <definedName name="ss1nt">#REF!</definedName>
    <definedName name="ss1op">#REF!</definedName>
    <definedName name="ss1tx">#REF!</definedName>
    <definedName name="ss1wf">#REF!</definedName>
    <definedName name="ss2et">#REF!</definedName>
    <definedName name="ss2etc">#REF!</definedName>
    <definedName name="ss2gb">#REF!</definedName>
    <definedName name="ss2gbt">#REF!</definedName>
    <definedName name="ss2lh">#REF!</definedName>
    <definedName name="ss2lhs">#REF!</definedName>
    <definedName name="ss2nt">#REF!</definedName>
    <definedName name="ss2ntc">#REF!</definedName>
    <definedName name="ss2op">#REF!</definedName>
    <definedName name="ss2opm">#REF!</definedName>
    <definedName name="ss2tx">#REF!</definedName>
    <definedName name="ss2txl">#REF!</definedName>
    <definedName name="ss2wf">#REF!</definedName>
    <definedName name="ss3et">#REF!</definedName>
    <definedName name="ss3gb">#REF!</definedName>
    <definedName name="ss3lh">#REF!</definedName>
    <definedName name="ss3nt">#REF!</definedName>
    <definedName name="ss3op">#REF!</definedName>
    <definedName name="ss3tx">#REF!</definedName>
    <definedName name="ss3wf">#REF!</definedName>
    <definedName name="ss5et">#REF!</definedName>
    <definedName name="ss5gb">#REF!</definedName>
    <definedName name="ss5lh">#REF!</definedName>
    <definedName name="ss5nt">#REF!</definedName>
    <definedName name="ss5op">#REF!</definedName>
    <definedName name="ss5tx">#REF!</definedName>
    <definedName name="ss5wf">#REF!</definedName>
    <definedName name="ss6et">#REF!</definedName>
    <definedName name="ss6gb">#REF!</definedName>
    <definedName name="ss6lh">#REF!</definedName>
    <definedName name="ss6nt">#REF!</definedName>
    <definedName name="ss6op">#REF!</definedName>
    <definedName name="ss6tx">#REF!</definedName>
    <definedName name="ss6wf">#REF!</definedName>
    <definedName name="tbl_QtrPrimRat">#REF!</definedName>
    <definedName name="texla">#REF!</definedName>
  </definedNames>
  <calcPr calcId="191029" iterate="1"/>
  <pivotCaches>
    <pivotCache cacheId="59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9" l="1"/>
  <c r="L3" i="18" l="1"/>
  <c r="H208" i="18"/>
  <c r="H81" i="18" l="1"/>
  <c r="H113" i="18"/>
  <c r="H145" i="18"/>
  <c r="H177" i="18"/>
  <c r="H37" i="18"/>
  <c r="H69" i="18"/>
  <c r="H101" i="18"/>
  <c r="H133" i="18"/>
  <c r="H165" i="18"/>
  <c r="H49" i="18"/>
  <c r="H21" i="18"/>
  <c r="H53" i="18"/>
  <c r="H85" i="18"/>
  <c r="H117" i="18"/>
  <c r="H149" i="18"/>
  <c r="H181" i="18"/>
  <c r="H33" i="18"/>
  <c r="H65" i="18"/>
  <c r="H97" i="18"/>
  <c r="H129" i="18"/>
  <c r="H161" i="18"/>
  <c r="H25" i="18"/>
  <c r="H41" i="18"/>
  <c r="H57" i="18"/>
  <c r="H73" i="18"/>
  <c r="H89" i="18"/>
  <c r="H105" i="18"/>
  <c r="H121" i="18"/>
  <c r="H137" i="18"/>
  <c r="H153" i="18"/>
  <c r="H169" i="18"/>
  <c r="H185" i="18"/>
  <c r="H29" i="18"/>
  <c r="H45" i="18"/>
  <c r="H61" i="18"/>
  <c r="H77" i="18"/>
  <c r="H93" i="18"/>
  <c r="H109" i="18"/>
  <c r="H125" i="18"/>
  <c r="H141" i="18"/>
  <c r="H157" i="18"/>
  <c r="H173" i="18"/>
  <c r="H26" i="18"/>
  <c r="H34" i="18"/>
  <c r="H42" i="18"/>
  <c r="H50" i="18"/>
  <c r="H58" i="18"/>
  <c r="H62" i="18"/>
  <c r="H70" i="18"/>
  <c r="H74" i="18"/>
  <c r="H78" i="18"/>
  <c r="H86" i="18"/>
  <c r="H94" i="18"/>
  <c r="H98" i="18"/>
  <c r="H106" i="18"/>
  <c r="H114" i="18"/>
  <c r="H122" i="18"/>
  <c r="H126" i="18"/>
  <c r="H134" i="18"/>
  <c r="H138" i="18"/>
  <c r="H146" i="18"/>
  <c r="H154" i="18"/>
  <c r="H162" i="18"/>
  <c r="H174" i="18"/>
  <c r="H182" i="18"/>
  <c r="H186" i="18"/>
  <c r="H190" i="18"/>
  <c r="H194" i="18"/>
  <c r="H198" i="18"/>
  <c r="H202" i="18"/>
  <c r="H210" i="18"/>
  <c r="H23" i="18"/>
  <c r="H27" i="18"/>
  <c r="H31" i="18"/>
  <c r="H35" i="18"/>
  <c r="H39" i="18"/>
  <c r="H43" i="18"/>
  <c r="H47" i="18"/>
  <c r="H51" i="18"/>
  <c r="H55" i="18"/>
  <c r="H59" i="18"/>
  <c r="H63" i="18"/>
  <c r="H67" i="18"/>
  <c r="H71" i="18"/>
  <c r="H75" i="18"/>
  <c r="H79" i="18"/>
  <c r="H83" i="18"/>
  <c r="H87" i="18"/>
  <c r="H91" i="18"/>
  <c r="H95" i="18"/>
  <c r="H99" i="18"/>
  <c r="H103" i="18"/>
  <c r="H107" i="18"/>
  <c r="H111" i="18"/>
  <c r="H115" i="18"/>
  <c r="H119" i="18"/>
  <c r="H123" i="18"/>
  <c r="H127" i="18"/>
  <c r="H131" i="18"/>
  <c r="H135" i="18"/>
  <c r="H139" i="18"/>
  <c r="H143" i="18"/>
  <c r="H147" i="18"/>
  <c r="H151" i="18"/>
  <c r="H155" i="18"/>
  <c r="H159" i="18"/>
  <c r="H163" i="18"/>
  <c r="H167" i="18"/>
  <c r="H171" i="18"/>
  <c r="H175" i="18"/>
  <c r="H179" i="18"/>
  <c r="H183" i="18"/>
  <c r="H187" i="18"/>
  <c r="H191" i="18"/>
  <c r="H195" i="18"/>
  <c r="H199" i="18"/>
  <c r="H203" i="18"/>
  <c r="H207" i="18"/>
  <c r="H211" i="18"/>
  <c r="H189" i="18"/>
  <c r="H193" i="18"/>
  <c r="H197" i="18"/>
  <c r="H201" i="18"/>
  <c r="H205" i="18"/>
  <c r="H209" i="18"/>
  <c r="H22" i="18"/>
  <c r="H30" i="18"/>
  <c r="H38" i="18"/>
  <c r="H46" i="18"/>
  <c r="H54" i="18"/>
  <c r="H66" i="18"/>
  <c r="H82" i="18"/>
  <c r="H90" i="18"/>
  <c r="H102" i="18"/>
  <c r="H110" i="18"/>
  <c r="H118" i="18"/>
  <c r="H130" i="18"/>
  <c r="H142" i="18"/>
  <c r="H150" i="18"/>
  <c r="H158" i="18"/>
  <c r="H166" i="18"/>
  <c r="H170" i="18"/>
  <c r="H178" i="18"/>
  <c r="H206" i="18"/>
  <c r="H20" i="18"/>
  <c r="H24" i="18"/>
  <c r="H28" i="18"/>
  <c r="H32" i="18"/>
  <c r="H36" i="18"/>
  <c r="H40" i="18"/>
  <c r="H44" i="18"/>
  <c r="H48" i="18"/>
  <c r="H52" i="18"/>
  <c r="H56" i="18"/>
  <c r="H60" i="18"/>
  <c r="H64" i="18"/>
  <c r="H68" i="18"/>
  <c r="H72" i="18"/>
  <c r="H76" i="18"/>
  <c r="H80" i="18"/>
  <c r="H84" i="18"/>
  <c r="H88" i="18"/>
  <c r="H92" i="18"/>
  <c r="H96" i="18"/>
  <c r="H100" i="18"/>
  <c r="H104" i="18"/>
  <c r="H108" i="18"/>
  <c r="H112" i="18"/>
  <c r="H116" i="18"/>
  <c r="H120" i="18"/>
  <c r="H124" i="18"/>
  <c r="H128" i="18"/>
  <c r="H132" i="18"/>
  <c r="H136" i="18"/>
  <c r="H140" i="18"/>
  <c r="H144" i="18"/>
  <c r="H148" i="18"/>
  <c r="H152" i="18"/>
  <c r="H156" i="18"/>
  <c r="H160" i="18"/>
  <c r="H164" i="18"/>
  <c r="H168" i="18"/>
  <c r="H172" i="18"/>
  <c r="H176" i="18"/>
  <c r="H180" i="18"/>
  <c r="H184" i="18"/>
  <c r="H188" i="18"/>
  <c r="H192" i="18"/>
  <c r="H196" i="18"/>
  <c r="H200" i="18"/>
  <c r="H204" i="18"/>
  <c r="O191" i="18" l="1"/>
  <c r="K1" i="18"/>
  <c r="O59" i="18"/>
  <c r="O67" i="18"/>
  <c r="O210" i="18"/>
  <c r="O202" i="18"/>
  <c r="O178" i="18"/>
  <c r="O146" i="18"/>
  <c r="O138" i="18"/>
  <c r="O98" i="18"/>
  <c r="O90" i="18"/>
  <c r="O38" i="18"/>
  <c r="O209" i="18"/>
  <c r="O181" i="18"/>
  <c r="O177" i="18"/>
  <c r="O145" i="18"/>
  <c r="O121" i="18"/>
  <c r="O97" i="18"/>
  <c r="O81" i="18"/>
  <c r="O73" i="18"/>
  <c r="O49" i="18"/>
  <c r="O25" i="18"/>
  <c r="O208" i="18"/>
  <c r="O180" i="18"/>
  <c r="O160" i="18"/>
  <c r="O152" i="18"/>
  <c r="O120" i="18"/>
  <c r="O100" i="18"/>
  <c r="O96" i="18"/>
  <c r="O72" i="18"/>
  <c r="O52" i="18"/>
  <c r="O48" i="18"/>
  <c r="O23" i="18"/>
  <c r="O119" i="18"/>
  <c r="O135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C3" i="29"/>
  <c r="C1" i="29"/>
  <c r="B3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C42" i="18"/>
  <c r="C54" i="18" s="1"/>
  <c r="D38" i="18"/>
  <c r="D50" i="18" s="1"/>
  <c r="J19" i="18"/>
  <c r="D43" i="18"/>
  <c r="D67" i="18" s="1"/>
  <c r="D79" i="18" s="1"/>
  <c r="B31" i="18"/>
  <c r="D42" i="18"/>
  <c r="D66" i="18" s="1"/>
  <c r="B30" i="18"/>
  <c r="D41" i="18"/>
  <c r="D65" i="18" s="1"/>
  <c r="D89" i="18" s="1"/>
  <c r="D101" i="18" s="1"/>
  <c r="D113" i="18" s="1"/>
  <c r="D125" i="18" s="1"/>
  <c r="D137" i="18" s="1"/>
  <c r="D149" i="18" s="1"/>
  <c r="D161" i="18" s="1"/>
  <c r="D185" i="18" s="1"/>
  <c r="D197" i="18" s="1"/>
  <c r="D209" i="18" s="1"/>
  <c r="B29" i="18"/>
  <c r="B28" i="18"/>
  <c r="C39" i="18"/>
  <c r="C51" i="18" s="1"/>
  <c r="D39" i="18"/>
  <c r="D51" i="18" s="1"/>
  <c r="B27" i="18"/>
  <c r="B26" i="18"/>
  <c r="B25" i="18"/>
  <c r="B24" i="18"/>
  <c r="B23" i="18"/>
  <c r="B22" i="18"/>
  <c r="B21" i="18"/>
  <c r="D32" i="18"/>
  <c r="B16" i="18"/>
  <c r="J1" i="18"/>
  <c r="C43" i="18"/>
  <c r="B175" i="18"/>
  <c r="B174" i="18"/>
  <c r="B173" i="18"/>
  <c r="B172" i="18"/>
  <c r="B171" i="18"/>
  <c r="C38" i="18"/>
  <c r="B170" i="18"/>
  <c r="C37" i="18"/>
  <c r="C61" i="18" s="1"/>
  <c r="C85" i="18" s="1"/>
  <c r="C97" i="18" s="1"/>
  <c r="C109" i="18" s="1"/>
  <c r="C121" i="18" s="1"/>
  <c r="C133" i="18" s="1"/>
  <c r="C145" i="18" s="1"/>
  <c r="C157" i="18" s="1"/>
  <c r="B169" i="18"/>
  <c r="B168" i="18"/>
  <c r="B167" i="18"/>
  <c r="B166" i="18"/>
  <c r="C33" i="18"/>
  <c r="C45" i="18" s="1"/>
  <c r="B165" i="18"/>
  <c r="C32" i="18"/>
  <c r="B164" i="18"/>
  <c r="B211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20" i="18"/>
  <c r="C35" i="18"/>
  <c r="C59" i="18" s="1"/>
  <c r="C83" i="18" s="1"/>
  <c r="C95" i="18" s="1"/>
  <c r="C107" i="18" s="1"/>
  <c r="C119" i="18" s="1"/>
  <c r="C131" i="18" s="1"/>
  <c r="C143" i="18" s="1"/>
  <c r="C155" i="18" s="1"/>
  <c r="C34" i="18"/>
  <c r="C46" i="18" s="1"/>
  <c r="C41" i="18"/>
  <c r="C65" i="18" s="1"/>
  <c r="C89" i="18" s="1"/>
  <c r="C101" i="18" s="1"/>
  <c r="C113" i="18" s="1"/>
  <c r="C125" i="18" s="1"/>
  <c r="C137" i="18" s="1"/>
  <c r="C149" i="18" s="1"/>
  <c r="C161" i="18" s="1"/>
  <c r="D36" i="18"/>
  <c r="D60" i="18" s="1"/>
  <c r="D84" i="18" s="1"/>
  <c r="D96" i="18" s="1"/>
  <c r="D108" i="18" s="1"/>
  <c r="D120" i="18" s="1"/>
  <c r="D132" i="18" s="1"/>
  <c r="D144" i="18" s="1"/>
  <c r="D156" i="18" s="1"/>
  <c r="C36" i="18"/>
  <c r="C60" i="18" s="1"/>
  <c r="C84" i="18" s="1"/>
  <c r="C96" i="18" s="1"/>
  <c r="C108" i="18" s="1"/>
  <c r="C120" i="18" s="1"/>
  <c r="C132" i="18" s="1"/>
  <c r="C144" i="18" s="1"/>
  <c r="C156" i="18" s="1"/>
  <c r="C40" i="18"/>
  <c r="D63" i="18"/>
  <c r="D35" i="18"/>
  <c r="D37" i="18"/>
  <c r="D40" i="18"/>
  <c r="D52" i="18" s="1"/>
  <c r="D33" i="18"/>
  <c r="D45" i="18" s="1"/>
  <c r="D34" i="18"/>
  <c r="D46" i="18" s="1"/>
  <c r="D57" i="18"/>
  <c r="D69" i="18" s="1"/>
  <c r="C49" i="18"/>
  <c r="O139" i="18"/>
  <c r="O107" i="18"/>
  <c r="O175" i="18"/>
  <c r="O91" i="18"/>
  <c r="O99" i="18"/>
  <c r="O163" i="18"/>
  <c r="O190" i="18"/>
  <c r="O174" i="18"/>
  <c r="O126" i="18"/>
  <c r="O110" i="18"/>
  <c r="O78" i="18"/>
  <c r="O30" i="18"/>
  <c r="O173" i="18"/>
  <c r="O157" i="18"/>
  <c r="O125" i="18"/>
  <c r="O109" i="18"/>
  <c r="O77" i="18"/>
  <c r="O61" i="18"/>
  <c r="O204" i="18"/>
  <c r="O188" i="18"/>
  <c r="O140" i="18"/>
  <c r="O92" i="18"/>
  <c r="O60" i="18"/>
  <c r="O44" i="18"/>
  <c r="O103" i="18"/>
  <c r="O167" i="18"/>
  <c r="O183" i="18"/>
  <c r="O20" i="18"/>
  <c r="O84" i="18"/>
  <c r="O104" i="18"/>
  <c r="O128" i="18"/>
  <c r="O148" i="18"/>
  <c r="O168" i="18"/>
  <c r="O192" i="18"/>
  <c r="O21" i="18"/>
  <c r="O41" i="18"/>
  <c r="O65" i="18"/>
  <c r="O85" i="18"/>
  <c r="O105" i="18"/>
  <c r="O129" i="18"/>
  <c r="O149" i="18"/>
  <c r="O169" i="18"/>
  <c r="O193" i="18"/>
  <c r="O22" i="18"/>
  <c r="O42" i="18"/>
  <c r="O66" i="18"/>
  <c r="O86" i="18"/>
  <c r="O106" i="18"/>
  <c r="O130" i="18"/>
  <c r="O150" i="18"/>
  <c r="O170" i="18"/>
  <c r="O194" i="18"/>
  <c r="O195" i="18"/>
  <c r="O115" i="18"/>
  <c r="O187" i="18"/>
  <c r="O27" i="18"/>
  <c r="O79" i="18"/>
  <c r="O43" i="18"/>
  <c r="O159" i="18"/>
  <c r="O75" i="18"/>
  <c r="O198" i="18"/>
  <c r="O147" i="18"/>
  <c r="O51" i="18"/>
  <c r="O207" i="18"/>
  <c r="O171" i="18"/>
  <c r="O211" i="18"/>
  <c r="O58" i="18"/>
  <c r="O114" i="18"/>
  <c r="O166" i="18"/>
  <c r="O83" i="18"/>
  <c r="O203" i="18"/>
  <c r="O95" i="18"/>
  <c r="O63" i="18"/>
  <c r="O111" i="18"/>
  <c r="O131" i="18"/>
  <c r="O186" i="18"/>
  <c r="O162" i="18"/>
  <c r="O134" i="18"/>
  <c r="O102" i="18"/>
  <c r="O82" i="18"/>
  <c r="O54" i="18"/>
  <c r="O34" i="18"/>
  <c r="O197" i="18"/>
  <c r="O165" i="18"/>
  <c r="O137" i="18"/>
  <c r="O117" i="18"/>
  <c r="O69" i="18"/>
  <c r="O37" i="18"/>
  <c r="O200" i="18"/>
  <c r="O176" i="18"/>
  <c r="O144" i="18"/>
  <c r="O116" i="18"/>
  <c r="O88" i="18"/>
  <c r="O68" i="18"/>
  <c r="O36" i="18"/>
  <c r="O55" i="18"/>
  <c r="O151" i="18"/>
  <c r="O31" i="18"/>
  <c r="O158" i="18"/>
  <c r="O62" i="18"/>
  <c r="O205" i="18"/>
  <c r="O45" i="18"/>
  <c r="O172" i="18"/>
  <c r="O124" i="18"/>
  <c r="O76" i="18"/>
  <c r="O28" i="18"/>
  <c r="O127" i="18"/>
  <c r="O40" i="18"/>
  <c r="O143" i="18"/>
  <c r="O155" i="18"/>
  <c r="O179" i="18"/>
  <c r="O182" i="18"/>
  <c r="O154" i="18"/>
  <c r="O122" i="18"/>
  <c r="O74" i="18"/>
  <c r="O50" i="18"/>
  <c r="O26" i="18"/>
  <c r="O185" i="18"/>
  <c r="O161" i="18"/>
  <c r="O133" i="18"/>
  <c r="O113" i="18"/>
  <c r="O89" i="18"/>
  <c r="O57" i="18"/>
  <c r="O33" i="18"/>
  <c r="O196" i="18"/>
  <c r="O164" i="18"/>
  <c r="O136" i="18"/>
  <c r="O112" i="18"/>
  <c r="O56" i="18"/>
  <c r="O32" i="18"/>
  <c r="O71" i="18"/>
  <c r="O199" i="18"/>
  <c r="O47" i="18"/>
  <c r="O35" i="18"/>
  <c r="O206" i="18"/>
  <c r="O142" i="18"/>
  <c r="O94" i="18"/>
  <c r="O46" i="18"/>
  <c r="O189" i="18"/>
  <c r="O141" i="18"/>
  <c r="O93" i="18"/>
  <c r="O29" i="18"/>
  <c r="O156" i="18"/>
  <c r="O108" i="18"/>
  <c r="O39" i="18"/>
  <c r="O87" i="18"/>
  <c r="O64" i="18"/>
  <c r="H23" i="29"/>
  <c r="G37" i="29"/>
  <c r="D24" i="29"/>
  <c r="G32" i="29"/>
  <c r="H32" i="29"/>
  <c r="G21" i="29"/>
  <c r="D30" i="29"/>
  <c r="H22" i="29"/>
  <c r="G28" i="29"/>
  <c r="H24" i="29"/>
  <c r="D22" i="29"/>
  <c r="E32" i="29"/>
  <c r="E31" i="29"/>
  <c r="E27" i="29"/>
  <c r="H30" i="29"/>
  <c r="D25" i="29"/>
  <c r="H25" i="29"/>
  <c r="H35" i="29"/>
  <c r="G23" i="29"/>
  <c r="D37" i="29"/>
  <c r="H33" i="29"/>
  <c r="E21" i="29"/>
  <c r="E24" i="29"/>
  <c r="E35" i="29"/>
  <c r="E30" i="29"/>
  <c r="E25" i="29"/>
  <c r="D29" i="29"/>
  <c r="D21" i="29"/>
  <c r="D35" i="29"/>
  <c r="G29" i="29"/>
  <c r="G35" i="29"/>
  <c r="G26" i="29"/>
  <c r="E23" i="29"/>
  <c r="H36" i="29"/>
  <c r="D27" i="29"/>
  <c r="E26" i="29"/>
  <c r="H29" i="29"/>
  <c r="E22" i="29"/>
  <c r="E29" i="29"/>
  <c r="H27" i="29"/>
  <c r="E36" i="29"/>
  <c r="E28" i="29"/>
  <c r="D23" i="29"/>
  <c r="G25" i="29"/>
  <c r="G24" i="29"/>
  <c r="D32" i="29"/>
  <c r="G36" i="29"/>
  <c r="H37" i="29"/>
  <c r="H21" i="29"/>
  <c r="D31" i="29"/>
  <c r="H28" i="29"/>
  <c r="D36" i="29"/>
  <c r="G30" i="29"/>
  <c r="G33" i="29"/>
  <c r="H31" i="29"/>
  <c r="G31" i="29"/>
  <c r="D28" i="29"/>
  <c r="D26" i="29"/>
  <c r="D33" i="29"/>
  <c r="G22" i="29"/>
  <c r="H26" i="29"/>
  <c r="G27" i="29"/>
  <c r="E37" i="29"/>
  <c r="E33" i="29"/>
  <c r="C57" i="18" l="1"/>
  <c r="C81" i="18" s="1"/>
  <c r="C93" i="18" s="1"/>
  <c r="C105" i="18" s="1"/>
  <c r="C117" i="18" s="1"/>
  <c r="C129" i="18" s="1"/>
  <c r="C141" i="18" s="1"/>
  <c r="C153" i="18" s="1"/>
  <c r="C73" i="18"/>
  <c r="C72" i="18"/>
  <c r="C66" i="18"/>
  <c r="C63" i="18"/>
  <c r="D53" i="18"/>
  <c r="C53" i="18"/>
  <c r="D55" i="18"/>
  <c r="D64" i="18"/>
  <c r="D76" i="18" s="1"/>
  <c r="D54" i="18"/>
  <c r="C58" i="18"/>
  <c r="C69" i="18"/>
  <c r="D81" i="18"/>
  <c r="D93" i="18" s="1"/>
  <c r="D105" i="18" s="1"/>
  <c r="D117" i="18" s="1"/>
  <c r="D129" i="18" s="1"/>
  <c r="D141" i="18" s="1"/>
  <c r="D153" i="18" s="1"/>
  <c r="D165" i="18" s="1"/>
  <c r="D77" i="18"/>
  <c r="D48" i="18"/>
  <c r="C71" i="18"/>
  <c r="D62" i="18"/>
  <c r="D74" i="18" s="1"/>
  <c r="E10" i="29"/>
  <c r="F10" i="29"/>
  <c r="E20" i="29"/>
  <c r="D20" i="29"/>
  <c r="C173" i="18"/>
  <c r="C185" i="18"/>
  <c r="C197" i="18" s="1"/>
  <c r="C209" i="18" s="1"/>
  <c r="C180" i="18"/>
  <c r="C192" i="18" s="1"/>
  <c r="C204" i="18" s="1"/>
  <c r="C168" i="18"/>
  <c r="D91" i="18"/>
  <c r="D103" i="18" s="1"/>
  <c r="D115" i="18" s="1"/>
  <c r="D127" i="18" s="1"/>
  <c r="D139" i="18" s="1"/>
  <c r="D151" i="18" s="1"/>
  <c r="D163" i="18" s="1"/>
  <c r="D187" i="18" s="1"/>
  <c r="D199" i="18" s="1"/>
  <c r="D211" i="18" s="1"/>
  <c r="D58" i="18"/>
  <c r="C48" i="18"/>
  <c r="D72" i="18"/>
  <c r="C77" i="18"/>
  <c r="C47" i="18"/>
  <c r="G34" i="29"/>
  <c r="E38" i="29"/>
  <c r="F29" i="29"/>
  <c r="I29" i="29" s="1"/>
  <c r="F31" i="29"/>
  <c r="I31" i="29" s="1"/>
  <c r="F22" i="29"/>
  <c r="I22" i="29" s="1"/>
  <c r="F23" i="29"/>
  <c r="I23" i="29" s="1"/>
  <c r="F36" i="29"/>
  <c r="I36" i="29" s="1"/>
  <c r="G38" i="29"/>
  <c r="F25" i="29"/>
  <c r="I25" i="29" s="1"/>
  <c r="F30" i="29"/>
  <c r="I30" i="29" s="1"/>
  <c r="F27" i="29"/>
  <c r="I27" i="29" s="1"/>
  <c r="F21" i="29"/>
  <c r="D34" i="29"/>
  <c r="D38" i="29"/>
  <c r="F35" i="29"/>
  <c r="F33" i="29"/>
  <c r="I33" i="29" s="1"/>
  <c r="F32" i="29"/>
  <c r="I32" i="29" s="1"/>
  <c r="H38" i="29"/>
  <c r="F37" i="29"/>
  <c r="I37" i="29" s="1"/>
  <c r="E34" i="29"/>
  <c r="F24" i="29"/>
  <c r="I24" i="29" s="1"/>
  <c r="H34" i="29"/>
  <c r="F28" i="29"/>
  <c r="I28" i="29" s="1"/>
  <c r="F26" i="29"/>
  <c r="I26" i="29" s="1"/>
  <c r="C181" i="18"/>
  <c r="C193" i="18" s="1"/>
  <c r="C205" i="18" s="1"/>
  <c r="C169" i="18"/>
  <c r="C165" i="18"/>
  <c r="C177" i="18"/>
  <c r="C189" i="18" s="1"/>
  <c r="C201" i="18" s="1"/>
  <c r="C167" i="18"/>
  <c r="C179" i="18"/>
  <c r="C191" i="18" s="1"/>
  <c r="C203" i="18" s="1"/>
  <c r="D168" i="18"/>
  <c r="D180" i="18"/>
  <c r="D192" i="18" s="1"/>
  <c r="D204" i="18" s="1"/>
  <c r="C87" i="18"/>
  <c r="C99" i="18" s="1"/>
  <c r="C111" i="18" s="1"/>
  <c r="C123" i="18" s="1"/>
  <c r="C135" i="18" s="1"/>
  <c r="C147" i="18" s="1"/>
  <c r="C159" i="18" s="1"/>
  <c r="C75" i="18"/>
  <c r="D173" i="18"/>
  <c r="D75" i="18"/>
  <c r="D87" i="18"/>
  <c r="D99" i="18" s="1"/>
  <c r="D111" i="18" s="1"/>
  <c r="D123" i="18" s="1"/>
  <c r="D135" i="18" s="1"/>
  <c r="D147" i="18" s="1"/>
  <c r="D159" i="18" s="1"/>
  <c r="D44" i="18"/>
  <c r="D56" i="18"/>
  <c r="D47" i="18"/>
  <c r="D59" i="18"/>
  <c r="C55" i="18"/>
  <c r="C67" i="18"/>
  <c r="D90" i="18"/>
  <c r="D102" i="18" s="1"/>
  <c r="D114" i="18" s="1"/>
  <c r="D126" i="18" s="1"/>
  <c r="D138" i="18" s="1"/>
  <c r="D150" i="18" s="1"/>
  <c r="D162" i="18" s="1"/>
  <c r="D78" i="18"/>
  <c r="D175" i="18"/>
  <c r="C52" i="18"/>
  <c r="C64" i="18"/>
  <c r="C82" i="18"/>
  <c r="C94" i="18" s="1"/>
  <c r="C106" i="18" s="1"/>
  <c r="C118" i="18" s="1"/>
  <c r="C130" i="18" s="1"/>
  <c r="C142" i="18" s="1"/>
  <c r="C154" i="18" s="1"/>
  <c r="C70" i="18"/>
  <c r="C56" i="18"/>
  <c r="C44" i="18"/>
  <c r="D61" i="18"/>
  <c r="D49" i="18"/>
  <c r="C50" i="18"/>
  <c r="C62" i="18"/>
  <c r="O123" i="18"/>
  <c r="O118" i="18"/>
  <c r="O70" i="18"/>
  <c r="O201" i="18"/>
  <c r="O153" i="18"/>
  <c r="O101" i="18"/>
  <c r="O53" i="18"/>
  <c r="O184" i="18"/>
  <c r="O132" i="18"/>
  <c r="O80" i="18"/>
  <c r="O24" i="18"/>
  <c r="H39" i="29" l="1"/>
  <c r="D88" i="18"/>
  <c r="D100" i="18" s="1"/>
  <c r="D112" i="18" s="1"/>
  <c r="D124" i="18" s="1"/>
  <c r="D136" i="18" s="1"/>
  <c r="D148" i="18" s="1"/>
  <c r="D160" i="18" s="1"/>
  <c r="D184" i="18" s="1"/>
  <c r="D196" i="18" s="1"/>
  <c r="D208" i="18" s="1"/>
  <c r="D86" i="18"/>
  <c r="D98" i="18" s="1"/>
  <c r="D110" i="18" s="1"/>
  <c r="D122" i="18" s="1"/>
  <c r="D134" i="18" s="1"/>
  <c r="D146" i="18" s="1"/>
  <c r="D158" i="18" s="1"/>
  <c r="D170" i="18" s="1"/>
  <c r="C90" i="18"/>
  <c r="C102" i="18" s="1"/>
  <c r="C114" i="18" s="1"/>
  <c r="C126" i="18" s="1"/>
  <c r="C138" i="18" s="1"/>
  <c r="C150" i="18" s="1"/>
  <c r="C162" i="18" s="1"/>
  <c r="C78" i="18"/>
  <c r="D182" i="18"/>
  <c r="D194" i="18" s="1"/>
  <c r="D206" i="18" s="1"/>
  <c r="D177" i="18"/>
  <c r="D189" i="18" s="1"/>
  <c r="D201" i="18" s="1"/>
  <c r="E39" i="29"/>
  <c r="O13" i="18"/>
  <c r="D172" i="18"/>
  <c r="D82" i="18"/>
  <c r="D94" i="18" s="1"/>
  <c r="D106" i="18" s="1"/>
  <c r="D118" i="18" s="1"/>
  <c r="D130" i="18" s="1"/>
  <c r="D142" i="18" s="1"/>
  <c r="D154" i="18" s="1"/>
  <c r="D70" i="18"/>
  <c r="C74" i="18"/>
  <c r="C86" i="18"/>
  <c r="C98" i="18" s="1"/>
  <c r="C110" i="18" s="1"/>
  <c r="C122" i="18" s="1"/>
  <c r="C134" i="18" s="1"/>
  <c r="C146" i="18" s="1"/>
  <c r="C158" i="18" s="1"/>
  <c r="D83" i="18"/>
  <c r="D95" i="18" s="1"/>
  <c r="D107" i="18" s="1"/>
  <c r="D119" i="18" s="1"/>
  <c r="D131" i="18" s="1"/>
  <c r="D143" i="18" s="1"/>
  <c r="D155" i="18" s="1"/>
  <c r="D71" i="18"/>
  <c r="I21" i="29"/>
  <c r="F34" i="29"/>
  <c r="O14" i="18"/>
  <c r="C178" i="18"/>
  <c r="C190" i="18" s="1"/>
  <c r="C202" i="18" s="1"/>
  <c r="C166" i="18"/>
  <c r="D186" i="18"/>
  <c r="D198" i="18" s="1"/>
  <c r="D210" i="18" s="1"/>
  <c r="D174" i="18"/>
  <c r="D171" i="18"/>
  <c r="D183" i="18"/>
  <c r="D195" i="18" s="1"/>
  <c r="D207" i="18" s="1"/>
  <c r="C183" i="18"/>
  <c r="C195" i="18" s="1"/>
  <c r="C207" i="18" s="1"/>
  <c r="C171" i="18"/>
  <c r="F38" i="29"/>
  <c r="I35" i="29"/>
  <c r="C76" i="18"/>
  <c r="C88" i="18"/>
  <c r="C100" i="18" s="1"/>
  <c r="C112" i="18" s="1"/>
  <c r="C124" i="18" s="1"/>
  <c r="C136" i="18" s="1"/>
  <c r="C148" i="18" s="1"/>
  <c r="C160" i="18" s="1"/>
  <c r="C91" i="18"/>
  <c r="C103" i="18" s="1"/>
  <c r="C115" i="18" s="1"/>
  <c r="C127" i="18" s="1"/>
  <c r="C139" i="18" s="1"/>
  <c r="C151" i="18" s="1"/>
  <c r="C163" i="18" s="1"/>
  <c r="C79" i="18"/>
  <c r="D73" i="18"/>
  <c r="D85" i="18"/>
  <c r="D97" i="18" s="1"/>
  <c r="D109" i="18" s="1"/>
  <c r="D121" i="18" s="1"/>
  <c r="D133" i="18" s="1"/>
  <c r="D145" i="18" s="1"/>
  <c r="D157" i="18" s="1"/>
  <c r="C80" i="18"/>
  <c r="C92" i="18" s="1"/>
  <c r="C104" i="18" s="1"/>
  <c r="C116" i="18" s="1"/>
  <c r="C128" i="18" s="1"/>
  <c r="C140" i="18" s="1"/>
  <c r="C152" i="18" s="1"/>
  <c r="C68" i="18"/>
  <c r="D68" i="18"/>
  <c r="D80" i="18"/>
  <c r="D92" i="18" s="1"/>
  <c r="D104" i="18" s="1"/>
  <c r="D116" i="18" s="1"/>
  <c r="D128" i="18" s="1"/>
  <c r="D140" i="18" s="1"/>
  <c r="D152" i="18" s="1"/>
  <c r="D39" i="29"/>
  <c r="G39" i="29"/>
  <c r="C174" i="18" l="1"/>
  <c r="C186" i="18"/>
  <c r="C198" i="18" s="1"/>
  <c r="C210" i="18" s="1"/>
  <c r="F39" i="29"/>
  <c r="D178" i="18"/>
  <c r="D190" i="18" s="1"/>
  <c r="D202" i="18" s="1"/>
  <c r="D166" i="18"/>
  <c r="C172" i="18"/>
  <c r="C184" i="18"/>
  <c r="C196" i="18" s="1"/>
  <c r="C208" i="18" s="1"/>
  <c r="I38" i="29"/>
  <c r="C170" i="18"/>
  <c r="C182" i="18"/>
  <c r="C194" i="18" s="1"/>
  <c r="C206" i="18" s="1"/>
  <c r="I34" i="29"/>
  <c r="C164" i="18"/>
  <c r="C176" i="18"/>
  <c r="C188" i="18" s="1"/>
  <c r="C200" i="18" s="1"/>
  <c r="D164" i="18"/>
  <c r="D176" i="18"/>
  <c r="D188" i="18" s="1"/>
  <c r="D200" i="18" s="1"/>
  <c r="D181" i="18"/>
  <c r="D193" i="18" s="1"/>
  <c r="D205" i="18" s="1"/>
  <c r="D169" i="18"/>
  <c r="C187" i="18"/>
  <c r="C199" i="18" s="1"/>
  <c r="C211" i="18" s="1"/>
  <c r="C175" i="18"/>
  <c r="D179" i="18"/>
  <c r="D191" i="18" s="1"/>
  <c r="D203" i="18" s="1"/>
  <c r="D167" i="18"/>
  <c r="I39" i="29" l="1"/>
  <c r="E11" i="29" l="1"/>
  <c r="E13" i="29" l="1"/>
  <c r="F12" i="29" l="1"/>
  <c r="I81" i="18" l="1"/>
  <c r="I42" i="18"/>
  <c r="I36" i="18"/>
  <c r="I179" i="18"/>
  <c r="I171" i="18"/>
  <c r="I189" i="18"/>
  <c r="I134" i="18"/>
  <c r="I61" i="18"/>
  <c r="I111" i="18"/>
  <c r="I116" i="18"/>
  <c r="I92" i="18"/>
  <c r="I161" i="18"/>
  <c r="I50" i="18"/>
  <c r="I22" i="18"/>
  <c r="I57" i="18"/>
  <c r="I62" i="18"/>
  <c r="I204" i="18"/>
  <c r="I105" i="18"/>
  <c r="I193" i="18"/>
  <c r="I142" i="18"/>
  <c r="I23" i="18"/>
  <c r="I37" i="18"/>
  <c r="I32" i="18"/>
  <c r="I149" i="18"/>
  <c r="I210" i="18"/>
  <c r="I44" i="18"/>
  <c r="I67" i="18"/>
  <c r="I135" i="18"/>
  <c r="I43" i="18"/>
  <c r="I55" i="18"/>
  <c r="I172" i="18"/>
  <c r="I144" i="18"/>
  <c r="I163" i="18"/>
  <c r="I182" i="18"/>
  <c r="I85" i="18"/>
  <c r="I82" i="18"/>
  <c r="I103" i="18"/>
  <c r="I120" i="18"/>
  <c r="I73" i="18"/>
  <c r="I28" i="18"/>
  <c r="I165" i="18"/>
  <c r="I170" i="18"/>
  <c r="I147" i="18"/>
  <c r="I46" i="18"/>
  <c r="I122" i="18"/>
  <c r="I194" i="18"/>
  <c r="I211" i="18"/>
  <c r="I63" i="18"/>
  <c r="I167" i="18"/>
  <c r="I88" i="18"/>
  <c r="I141" i="18"/>
  <c r="I106" i="18"/>
  <c r="I200" i="18"/>
  <c r="I143" i="18"/>
  <c r="I114" i="18"/>
  <c r="I35" i="18"/>
  <c r="I124" i="18"/>
  <c r="I71" i="18"/>
  <c r="I191" i="18"/>
  <c r="I152" i="18"/>
  <c r="I132" i="18"/>
  <c r="I27" i="18"/>
  <c r="I49" i="18"/>
  <c r="I75" i="18"/>
  <c r="I185" i="18"/>
  <c r="I107" i="18"/>
  <c r="I41" i="18"/>
  <c r="I110" i="18"/>
  <c r="I95" i="18"/>
  <c r="F14" i="29"/>
  <c r="I190" i="18"/>
  <c r="I159" i="18"/>
  <c r="I207" i="18"/>
  <c r="I155" i="18"/>
  <c r="I203" i="18"/>
  <c r="I181" i="18"/>
  <c r="I208" i="18"/>
  <c r="I25" i="18"/>
  <c r="I83" i="18"/>
  <c r="I84" i="18"/>
  <c r="I131" i="18"/>
  <c r="I188" i="18"/>
  <c r="I29" i="18"/>
  <c r="I38" i="18"/>
  <c r="I195" i="18"/>
  <c r="I79" i="18"/>
  <c r="I153" i="18"/>
  <c r="I47" i="18"/>
  <c r="I66" i="18"/>
  <c r="I34" i="18"/>
  <c r="I127" i="18"/>
  <c r="I196" i="18"/>
  <c r="I146" i="18"/>
  <c r="I158" i="18"/>
  <c r="I52" i="18"/>
  <c r="I205" i="18"/>
  <c r="I206" i="18"/>
  <c r="I94" i="18"/>
  <c r="I140" i="18"/>
  <c r="I80" i="18"/>
  <c r="I76" i="18"/>
  <c r="I97" i="18"/>
  <c r="I31" i="18"/>
  <c r="I176" i="18"/>
  <c r="I98" i="18"/>
  <c r="I117" i="18"/>
  <c r="I184" i="18"/>
  <c r="I89" i="18"/>
  <c r="I175" i="18"/>
  <c r="I54" i="18"/>
  <c r="I59" i="18"/>
  <c r="I77" i="18"/>
  <c r="I180" i="18"/>
  <c r="I199" i="18"/>
  <c r="I133" i="18"/>
  <c r="I99" i="18"/>
  <c r="I178" i="18"/>
  <c r="I162" i="18"/>
  <c r="I60" i="18"/>
  <c r="I177" i="18"/>
  <c r="I51" i="18"/>
  <c r="I69" i="18"/>
  <c r="I102" i="18"/>
  <c r="I173" i="18"/>
  <c r="I148" i="18"/>
  <c r="I56" i="18"/>
  <c r="I197" i="18"/>
  <c r="I138" i="18"/>
  <c r="I174" i="18"/>
  <c r="I198" i="18"/>
  <c r="I112" i="18"/>
  <c r="I65" i="18"/>
  <c r="I72" i="18"/>
  <c r="I125" i="18"/>
  <c r="I202" i="18"/>
  <c r="I74" i="18"/>
  <c r="I33" i="18"/>
  <c r="I90" i="18"/>
  <c r="I78" i="18"/>
  <c r="I20" i="18"/>
  <c r="I119" i="18"/>
  <c r="I168" i="18"/>
  <c r="I156" i="18"/>
  <c r="I30" i="18"/>
  <c r="I183" i="18"/>
  <c r="I192" i="18"/>
  <c r="I39" i="18"/>
  <c r="I104" i="18"/>
  <c r="I108" i="18"/>
  <c r="I187" i="18"/>
  <c r="I137" i="18"/>
  <c r="I157" i="18"/>
  <c r="I68" i="18"/>
  <c r="I53" i="18"/>
  <c r="I113" i="18"/>
  <c r="I129" i="18"/>
  <c r="I151" i="18"/>
  <c r="I48" i="18"/>
  <c r="I26" i="18"/>
  <c r="I21" i="18"/>
  <c r="I118" i="18"/>
  <c r="I100" i="18"/>
  <c r="I145" i="18"/>
  <c r="I121" i="18"/>
  <c r="I123" i="18"/>
  <c r="I209" i="18"/>
  <c r="I201" i="18"/>
  <c r="I24" i="18"/>
  <c r="I93" i="18"/>
  <c r="I139" i="18"/>
  <c r="I101" i="18"/>
  <c r="I70" i="18"/>
  <c r="I64" i="18"/>
  <c r="I58" i="18"/>
  <c r="I91" i="18"/>
  <c r="I87" i="18"/>
  <c r="I86" i="18"/>
  <c r="I186" i="18"/>
  <c r="I128" i="18"/>
  <c r="I160" i="18"/>
  <c r="I115" i="18"/>
  <c r="I130" i="18"/>
  <c r="I136" i="18"/>
  <c r="I40" i="18"/>
  <c r="I109" i="18"/>
  <c r="I166" i="18"/>
  <c r="I169" i="18"/>
  <c r="I96" i="18"/>
  <c r="I164" i="18"/>
  <c r="I45" i="18"/>
  <c r="I126" i="18"/>
  <c r="I150" i="18"/>
  <c r="I154" i="18"/>
  <c r="P163" i="18" l="1"/>
  <c r="K163" i="18"/>
  <c r="J163" i="18"/>
  <c r="L163" i="18" s="1"/>
  <c r="P194" i="18"/>
  <c r="K194" i="18"/>
  <c r="J194" i="18"/>
  <c r="L194" i="18" s="1"/>
  <c r="M194" i="18"/>
  <c r="N194" i="18" s="1"/>
  <c r="R194" i="18" s="1"/>
  <c r="P66" i="18"/>
  <c r="K66" i="18"/>
  <c r="J66" i="18"/>
  <c r="L66" i="18" s="1"/>
  <c r="P145" i="18"/>
  <c r="K145" i="18"/>
  <c r="J145" i="18"/>
  <c r="L145" i="18" s="1"/>
  <c r="P164" i="18"/>
  <c r="K164" i="18"/>
  <c r="J164" i="18"/>
  <c r="L164" i="18" s="1"/>
  <c r="P189" i="18"/>
  <c r="K189" i="18"/>
  <c r="J189" i="18"/>
  <c r="L189" i="18" s="1"/>
  <c r="P134" i="18"/>
  <c r="K134" i="18"/>
  <c r="J134" i="18"/>
  <c r="L134" i="18" s="1"/>
  <c r="P211" i="18"/>
  <c r="K211" i="18"/>
  <c r="J211" i="18"/>
  <c r="M211" i="18"/>
  <c r="P115" i="18"/>
  <c r="K115" i="18"/>
  <c r="J115" i="18"/>
  <c r="L115" i="18" s="1"/>
  <c r="P140" i="18"/>
  <c r="K140" i="18"/>
  <c r="J140" i="18"/>
  <c r="L140" i="18" s="1"/>
  <c r="P178" i="18"/>
  <c r="K178" i="18"/>
  <c r="J178" i="18"/>
  <c r="L178" i="18" s="1"/>
  <c r="P82" i="18"/>
  <c r="K82" i="18"/>
  <c r="J82" i="18"/>
  <c r="L82" i="18" s="1"/>
  <c r="M82" i="18"/>
  <c r="N82" i="18" s="1"/>
  <c r="R82" i="18" s="1"/>
  <c r="P125" i="18"/>
  <c r="K125" i="18"/>
  <c r="J125" i="18"/>
  <c r="L125" i="18" s="1"/>
  <c r="P193" i="18"/>
  <c r="K193" i="18"/>
  <c r="J193" i="18"/>
  <c r="L193" i="18" s="1"/>
  <c r="M193" i="18"/>
  <c r="N193" i="18" s="1"/>
  <c r="R193" i="18" s="1"/>
  <c r="P97" i="18"/>
  <c r="K97" i="18"/>
  <c r="J97" i="18"/>
  <c r="L97" i="18" s="1"/>
  <c r="P33" i="18"/>
  <c r="K33" i="18"/>
  <c r="J33" i="18"/>
  <c r="L33" i="18" s="1"/>
  <c r="P76" i="18"/>
  <c r="K76" i="18"/>
  <c r="J76" i="18"/>
  <c r="L76" i="18" s="1"/>
  <c r="P192" i="18"/>
  <c r="K192" i="18"/>
  <c r="J192" i="18"/>
  <c r="L192" i="18" s="1"/>
  <c r="P128" i="18"/>
  <c r="K128" i="18"/>
  <c r="J128" i="18"/>
  <c r="L128" i="18" s="1"/>
  <c r="P149" i="18"/>
  <c r="K149" i="18"/>
  <c r="J149" i="18"/>
  <c r="L149" i="18" s="1"/>
  <c r="P199" i="18"/>
  <c r="K199" i="18"/>
  <c r="J199" i="18"/>
  <c r="L199" i="18" s="1"/>
  <c r="P135" i="18"/>
  <c r="K135" i="18"/>
  <c r="J135" i="18"/>
  <c r="L135" i="18" s="1"/>
  <c r="M135" i="18"/>
  <c r="N135" i="18" s="1"/>
  <c r="R135" i="18" s="1"/>
  <c r="P71" i="18"/>
  <c r="K71" i="18"/>
  <c r="J71" i="18"/>
  <c r="L71" i="18" s="1"/>
  <c r="P39" i="18"/>
  <c r="K39" i="18"/>
  <c r="J39" i="18"/>
  <c r="L39" i="18" s="1"/>
  <c r="M39" i="18"/>
  <c r="N39" i="18" s="1"/>
  <c r="R39" i="18" s="1"/>
  <c r="P36" i="18"/>
  <c r="K36" i="18"/>
  <c r="J36" i="18"/>
  <c r="L36" i="18" s="1"/>
  <c r="P150" i="18"/>
  <c r="K150" i="18"/>
  <c r="J150" i="18"/>
  <c r="L150" i="18" s="1"/>
  <c r="P118" i="18"/>
  <c r="K118" i="18"/>
  <c r="J118" i="18"/>
  <c r="L118" i="18" s="1"/>
  <c r="P86" i="18"/>
  <c r="K86" i="18"/>
  <c r="J86" i="18"/>
  <c r="L86" i="18" s="1"/>
  <c r="M86" i="18"/>
  <c r="N86" i="18" s="1"/>
  <c r="R86" i="18" s="1"/>
  <c r="P54" i="18"/>
  <c r="K54" i="18"/>
  <c r="J54" i="18"/>
  <c r="L54" i="18" s="1"/>
  <c r="P180" i="18"/>
  <c r="K180" i="18"/>
  <c r="J180" i="18"/>
  <c r="L180" i="18" s="1"/>
  <c r="M180" i="18"/>
  <c r="N180" i="18" s="1"/>
  <c r="R180" i="18" s="1"/>
  <c r="P195" i="18"/>
  <c r="K195" i="18"/>
  <c r="J195" i="18"/>
  <c r="L195" i="18" s="1"/>
  <c r="P67" i="18"/>
  <c r="K67" i="18"/>
  <c r="J67" i="18"/>
  <c r="P45" i="18"/>
  <c r="K45" i="18"/>
  <c r="J45" i="18"/>
  <c r="L45" i="18" s="1"/>
  <c r="P162" i="18"/>
  <c r="K162" i="18"/>
  <c r="J162" i="18"/>
  <c r="P204" i="18"/>
  <c r="K204" i="18"/>
  <c r="J204" i="18"/>
  <c r="L204" i="18" s="1"/>
  <c r="P113" i="18"/>
  <c r="K113" i="18"/>
  <c r="J113" i="18"/>
  <c r="P205" i="18"/>
  <c r="K205" i="18"/>
  <c r="J205" i="18"/>
  <c r="L205" i="18" s="1"/>
  <c r="P208" i="18"/>
  <c r="K208" i="18"/>
  <c r="J208" i="18"/>
  <c r="M208" i="18"/>
  <c r="P112" i="18"/>
  <c r="K112" i="18"/>
  <c r="J112" i="18"/>
  <c r="L112" i="18" s="1"/>
  <c r="P101" i="18"/>
  <c r="K101" i="18"/>
  <c r="J101" i="18"/>
  <c r="M101" i="18"/>
  <c r="P198" i="18"/>
  <c r="K198" i="18"/>
  <c r="J198" i="18"/>
  <c r="L198" i="18" s="1"/>
  <c r="P147" i="18"/>
  <c r="K147" i="18"/>
  <c r="J147" i="18"/>
  <c r="L147" i="18" s="1"/>
  <c r="P197" i="18"/>
  <c r="K197" i="18"/>
  <c r="J197" i="18"/>
  <c r="P114" i="18"/>
  <c r="K114" i="18"/>
  <c r="J114" i="18"/>
  <c r="L114" i="18" s="1"/>
  <c r="P129" i="18"/>
  <c r="K129" i="18"/>
  <c r="J129" i="18"/>
  <c r="P64" i="18"/>
  <c r="K64" i="18"/>
  <c r="J64" i="18"/>
  <c r="L64" i="18" s="1"/>
  <c r="P22" i="18"/>
  <c r="K22" i="18"/>
  <c r="J22" i="18"/>
  <c r="P171" i="18"/>
  <c r="K171" i="18"/>
  <c r="J171" i="18"/>
  <c r="L171" i="18" s="1"/>
  <c r="P43" i="18"/>
  <c r="K43" i="18"/>
  <c r="J43" i="18"/>
  <c r="P202" i="18"/>
  <c r="K202" i="18"/>
  <c r="J202" i="18"/>
  <c r="L202" i="18" s="1"/>
  <c r="P138" i="18"/>
  <c r="K138" i="18"/>
  <c r="J138" i="18"/>
  <c r="P74" i="18"/>
  <c r="K74" i="18"/>
  <c r="J74" i="18"/>
  <c r="L74" i="18" s="1"/>
  <c r="P42" i="18"/>
  <c r="K42" i="18"/>
  <c r="J42" i="18"/>
  <c r="P52" i="18"/>
  <c r="K52" i="18"/>
  <c r="J52" i="18"/>
  <c r="L52" i="18" s="1"/>
  <c r="P185" i="18"/>
  <c r="K185" i="18"/>
  <c r="J185" i="18"/>
  <c r="P153" i="18"/>
  <c r="K153" i="18"/>
  <c r="J153" i="18"/>
  <c r="L153" i="18" s="1"/>
  <c r="P121" i="18"/>
  <c r="K121" i="18"/>
  <c r="J121" i="18"/>
  <c r="P89" i="18"/>
  <c r="K89" i="18"/>
  <c r="J89" i="18"/>
  <c r="L89" i="18" s="1"/>
  <c r="P57" i="18"/>
  <c r="K57" i="18"/>
  <c r="J57" i="18"/>
  <c r="L57" i="18" s="1"/>
  <c r="P25" i="18"/>
  <c r="K25" i="18"/>
  <c r="J25" i="18"/>
  <c r="L25" i="18" s="1"/>
  <c r="P172" i="18"/>
  <c r="K172" i="18"/>
  <c r="J172" i="18"/>
  <c r="L172" i="18" s="1"/>
  <c r="P28" i="18"/>
  <c r="K28" i="18"/>
  <c r="J28" i="18"/>
  <c r="L28" i="18" s="1"/>
  <c r="P184" i="18"/>
  <c r="K184" i="18"/>
  <c r="J184" i="18"/>
  <c r="L184" i="18" s="1"/>
  <c r="P152" i="18"/>
  <c r="K152" i="18"/>
  <c r="J152" i="18"/>
  <c r="L152" i="18" s="1"/>
  <c r="P120" i="18"/>
  <c r="K120" i="18"/>
  <c r="J120" i="18"/>
  <c r="L120" i="18" s="1"/>
  <c r="P88" i="18"/>
  <c r="K88" i="18"/>
  <c r="J88" i="18"/>
  <c r="L88" i="18" s="1"/>
  <c r="P56" i="18"/>
  <c r="K56" i="18"/>
  <c r="J56" i="18"/>
  <c r="P24" i="18"/>
  <c r="K24" i="18"/>
  <c r="J24" i="18"/>
  <c r="L24" i="18" s="1"/>
  <c r="P133" i="18"/>
  <c r="K133" i="18"/>
  <c r="J133" i="18"/>
  <c r="P124" i="18"/>
  <c r="K124" i="18"/>
  <c r="J124" i="18"/>
  <c r="L124" i="18" s="1"/>
  <c r="P191" i="18"/>
  <c r="K191" i="18"/>
  <c r="J191" i="18"/>
  <c r="P159" i="18"/>
  <c r="K159" i="18"/>
  <c r="J159" i="18"/>
  <c r="L159" i="18" s="1"/>
  <c r="P127" i="18"/>
  <c r="K127" i="18"/>
  <c r="J127" i="18"/>
  <c r="P95" i="18"/>
  <c r="K95" i="18"/>
  <c r="J95" i="18"/>
  <c r="L95" i="18" s="1"/>
  <c r="P63" i="18"/>
  <c r="K63" i="18"/>
  <c r="J63" i="18"/>
  <c r="P31" i="18"/>
  <c r="K31" i="18"/>
  <c r="J31" i="18"/>
  <c r="L31" i="18" s="1"/>
  <c r="P196" i="18"/>
  <c r="K196" i="18"/>
  <c r="J196" i="18"/>
  <c r="P206" i="18"/>
  <c r="K206" i="18"/>
  <c r="J206" i="18"/>
  <c r="L206" i="18" s="1"/>
  <c r="P174" i="18"/>
  <c r="K174" i="18"/>
  <c r="J174" i="18"/>
  <c r="P142" i="18"/>
  <c r="K142" i="18"/>
  <c r="J142" i="18"/>
  <c r="L142" i="18" s="1"/>
  <c r="P110" i="18"/>
  <c r="K110" i="18"/>
  <c r="J110" i="18"/>
  <c r="P78" i="18"/>
  <c r="K78" i="18"/>
  <c r="J78" i="18"/>
  <c r="L78" i="18" s="1"/>
  <c r="P46" i="18"/>
  <c r="K46" i="18"/>
  <c r="J46" i="18"/>
  <c r="L46" i="18" s="1"/>
  <c r="P181" i="18"/>
  <c r="K181" i="18"/>
  <c r="J181" i="18"/>
  <c r="L181" i="18" s="1"/>
  <c r="P109" i="18"/>
  <c r="K109" i="18"/>
  <c r="J109" i="18"/>
  <c r="L109" i="18" s="1"/>
  <c r="P132" i="18"/>
  <c r="K132" i="18"/>
  <c r="J132" i="18"/>
  <c r="L132" i="18" s="1"/>
  <c r="P99" i="18"/>
  <c r="K99" i="18"/>
  <c r="J99" i="18"/>
  <c r="L99" i="18" s="1"/>
  <c r="P35" i="18"/>
  <c r="K35" i="18"/>
  <c r="J35" i="18"/>
  <c r="L35" i="18" s="1"/>
  <c r="P68" i="18"/>
  <c r="K68" i="18"/>
  <c r="J68" i="18"/>
  <c r="L68" i="18" s="1"/>
  <c r="P98" i="18"/>
  <c r="K98" i="18"/>
  <c r="J98" i="18"/>
  <c r="L98" i="18" s="1"/>
  <c r="P209" i="18"/>
  <c r="K209" i="18"/>
  <c r="J209" i="18"/>
  <c r="L209" i="18" s="1"/>
  <c r="P81" i="18"/>
  <c r="K81" i="18"/>
  <c r="J81" i="18"/>
  <c r="L81" i="18" s="1"/>
  <c r="P144" i="18"/>
  <c r="K144" i="18"/>
  <c r="J144" i="18"/>
  <c r="L144" i="18" s="1"/>
  <c r="P102" i="18"/>
  <c r="K102" i="18"/>
  <c r="J102" i="18"/>
  <c r="L102" i="18" s="1"/>
  <c r="P179" i="18"/>
  <c r="K179" i="18"/>
  <c r="J179" i="18"/>
  <c r="P83" i="18"/>
  <c r="K83" i="18"/>
  <c r="J83" i="18"/>
  <c r="L83" i="18" s="1"/>
  <c r="P51" i="18"/>
  <c r="K51" i="18"/>
  <c r="J51" i="18"/>
  <c r="L51" i="18" s="1"/>
  <c r="P210" i="18"/>
  <c r="K210" i="18"/>
  <c r="J210" i="18"/>
  <c r="L210" i="18" s="1"/>
  <c r="P146" i="18"/>
  <c r="K146" i="18"/>
  <c r="J146" i="18"/>
  <c r="L146" i="18" s="1"/>
  <c r="P50" i="18"/>
  <c r="K50" i="18"/>
  <c r="J50" i="18"/>
  <c r="L50" i="18" s="1"/>
  <c r="M50" i="18"/>
  <c r="N50" i="18" s="1"/>
  <c r="R50" i="18" s="1"/>
  <c r="P108" i="18"/>
  <c r="K108" i="18"/>
  <c r="J108" i="18"/>
  <c r="L108" i="18" s="1"/>
  <c r="P161" i="18"/>
  <c r="K161" i="18"/>
  <c r="J161" i="18"/>
  <c r="L161" i="18" s="1"/>
  <c r="M161" i="18"/>
  <c r="N161" i="18" s="1"/>
  <c r="R161" i="18" s="1"/>
  <c r="P65" i="18"/>
  <c r="K65" i="18"/>
  <c r="J65" i="18"/>
  <c r="L65" i="18" s="1"/>
  <c r="P21" i="18"/>
  <c r="K21" i="18"/>
  <c r="J21" i="18"/>
  <c r="L21" i="18" s="1"/>
  <c r="P160" i="18"/>
  <c r="K160" i="18"/>
  <c r="J160" i="18"/>
  <c r="P96" i="18"/>
  <c r="K96" i="18"/>
  <c r="J96" i="18"/>
  <c r="L96" i="18" s="1"/>
  <c r="M96" i="18"/>
  <c r="N96" i="18" s="1"/>
  <c r="R96" i="18" s="1"/>
  <c r="P32" i="18"/>
  <c r="K32" i="18"/>
  <c r="J32" i="18"/>
  <c r="L32" i="18" s="1"/>
  <c r="P37" i="18"/>
  <c r="K37" i="18"/>
  <c r="J37" i="18"/>
  <c r="L37" i="18" s="1"/>
  <c r="M37" i="18"/>
  <c r="N37" i="18" s="1"/>
  <c r="R37" i="18" s="1"/>
  <c r="P167" i="18"/>
  <c r="K167" i="18"/>
  <c r="J167" i="18"/>
  <c r="L167" i="18" s="1"/>
  <c r="P103" i="18"/>
  <c r="K103" i="18"/>
  <c r="J103" i="18"/>
  <c r="L103" i="18" s="1"/>
  <c r="P53" i="18"/>
  <c r="K53" i="18"/>
  <c r="J53" i="18"/>
  <c r="P182" i="18"/>
  <c r="K182" i="18"/>
  <c r="J182" i="18"/>
  <c r="L182" i="18" s="1"/>
  <c r="P141" i="18"/>
  <c r="K141" i="18"/>
  <c r="J141" i="18"/>
  <c r="L141" i="18" s="1"/>
  <c r="P203" i="18"/>
  <c r="K203" i="18"/>
  <c r="J203" i="18"/>
  <c r="L203" i="18" s="1"/>
  <c r="P139" i="18"/>
  <c r="K139" i="18"/>
  <c r="J139" i="18"/>
  <c r="L139" i="18" s="1"/>
  <c r="P107" i="18"/>
  <c r="K107" i="18"/>
  <c r="J107" i="18"/>
  <c r="L107" i="18" s="1"/>
  <c r="M107" i="18"/>
  <c r="N107" i="18" s="1"/>
  <c r="R107" i="18" s="1"/>
  <c r="P75" i="18"/>
  <c r="K75" i="18"/>
  <c r="J75" i="18"/>
  <c r="L75" i="18" s="1"/>
  <c r="P93" i="18"/>
  <c r="K93" i="18"/>
  <c r="J93" i="18"/>
  <c r="L93" i="18" s="1"/>
  <c r="M93" i="18"/>
  <c r="N93" i="18" s="1"/>
  <c r="R93" i="18" s="1"/>
  <c r="P100" i="18"/>
  <c r="K100" i="18"/>
  <c r="J100" i="18"/>
  <c r="L100" i="18" s="1"/>
  <c r="P170" i="18"/>
  <c r="K170" i="18"/>
  <c r="J170" i="18"/>
  <c r="L170" i="18" s="1"/>
  <c r="P106" i="18"/>
  <c r="K106" i="18"/>
  <c r="J106" i="18"/>
  <c r="P61" i="18"/>
  <c r="K61" i="18"/>
  <c r="J61" i="18"/>
  <c r="L61" i="18" s="1"/>
  <c r="M61" i="18"/>
  <c r="N61" i="18" s="1"/>
  <c r="R61" i="18" s="1"/>
  <c r="P131" i="18"/>
  <c r="K131" i="18"/>
  <c r="J131" i="18"/>
  <c r="L131" i="18" s="1"/>
  <c r="P130" i="18"/>
  <c r="K130" i="18"/>
  <c r="J130" i="18"/>
  <c r="L130" i="18" s="1"/>
  <c r="M130" i="18"/>
  <c r="N130" i="18" s="1"/>
  <c r="R130" i="18" s="1"/>
  <c r="P34" i="18"/>
  <c r="K34" i="18"/>
  <c r="J34" i="18"/>
  <c r="L34" i="18" s="1"/>
  <c r="P177" i="18"/>
  <c r="K177" i="18"/>
  <c r="J177" i="18"/>
  <c r="L177" i="18" s="1"/>
  <c r="P49" i="18"/>
  <c r="K49" i="18"/>
  <c r="J49" i="18"/>
  <c r="P176" i="18"/>
  <c r="K176" i="18"/>
  <c r="J176" i="18"/>
  <c r="L176" i="18" s="1"/>
  <c r="M176" i="18"/>
  <c r="N176" i="18" s="1"/>
  <c r="R176" i="18" s="1"/>
  <c r="P80" i="18"/>
  <c r="K80" i="18"/>
  <c r="J80" i="18"/>
  <c r="L80" i="18" s="1"/>
  <c r="P48" i="18"/>
  <c r="K48" i="18"/>
  <c r="J48" i="18"/>
  <c r="L48" i="18" s="1"/>
  <c r="M48" i="18"/>
  <c r="N48" i="18" s="1"/>
  <c r="R48" i="18" s="1"/>
  <c r="P60" i="18"/>
  <c r="K60" i="18"/>
  <c r="J60" i="18"/>
  <c r="L60" i="18" s="1"/>
  <c r="P183" i="18"/>
  <c r="K183" i="18"/>
  <c r="J183" i="18"/>
  <c r="L183" i="18" s="1"/>
  <c r="P151" i="18"/>
  <c r="K151" i="18"/>
  <c r="J151" i="18"/>
  <c r="P119" i="18"/>
  <c r="K119" i="18"/>
  <c r="J119" i="18"/>
  <c r="L119" i="18" s="1"/>
  <c r="P87" i="18"/>
  <c r="K87" i="18"/>
  <c r="J87" i="18"/>
  <c r="L87" i="18" s="1"/>
  <c r="P55" i="18"/>
  <c r="K55" i="18"/>
  <c r="J55" i="18"/>
  <c r="L55" i="18" s="1"/>
  <c r="P23" i="18"/>
  <c r="K23" i="18"/>
  <c r="J23" i="18"/>
  <c r="L23" i="18" s="1"/>
  <c r="P148" i="18"/>
  <c r="K148" i="18"/>
  <c r="J148" i="18"/>
  <c r="L148" i="18" s="1"/>
  <c r="M148" i="18"/>
  <c r="N148" i="18" s="1"/>
  <c r="R148" i="18" s="1"/>
  <c r="P166" i="18"/>
  <c r="K166" i="18"/>
  <c r="J166" i="18"/>
  <c r="L166" i="18" s="1"/>
  <c r="P70" i="18"/>
  <c r="K70" i="18"/>
  <c r="J70" i="18"/>
  <c r="L70" i="18" s="1"/>
  <c r="M70" i="18"/>
  <c r="N70" i="18" s="1"/>
  <c r="R70" i="18" s="1"/>
  <c r="P38" i="18"/>
  <c r="K38" i="18"/>
  <c r="J38" i="18"/>
  <c r="L38" i="18" s="1"/>
  <c r="P173" i="18"/>
  <c r="K173" i="18"/>
  <c r="J173" i="18"/>
  <c r="L173" i="18" s="1"/>
  <c r="P69" i="18"/>
  <c r="K69" i="18"/>
  <c r="J69" i="18"/>
  <c r="P92" i="18"/>
  <c r="K92" i="18"/>
  <c r="J92" i="18"/>
  <c r="L92" i="18" s="1"/>
  <c r="M92" i="18"/>
  <c r="N92" i="18" s="1"/>
  <c r="R92" i="18" s="1"/>
  <c r="P187" i="18"/>
  <c r="K187" i="18"/>
  <c r="J187" i="18"/>
  <c r="L187" i="18" s="1"/>
  <c r="P155" i="18"/>
  <c r="K155" i="18"/>
  <c r="J155" i="18"/>
  <c r="L155" i="18" s="1"/>
  <c r="M155" i="18"/>
  <c r="N155" i="18" s="1"/>
  <c r="R155" i="18" s="1"/>
  <c r="P123" i="18"/>
  <c r="K123" i="18"/>
  <c r="J123" i="18"/>
  <c r="L123" i="18" s="1"/>
  <c r="P91" i="18"/>
  <c r="K91" i="18"/>
  <c r="J91" i="18"/>
  <c r="L91" i="18" s="1"/>
  <c r="M91" i="18"/>
  <c r="N91" i="18" s="1"/>
  <c r="R91" i="18" s="1"/>
  <c r="P59" i="18"/>
  <c r="K59" i="18"/>
  <c r="J59" i="18"/>
  <c r="L59" i="18" s="1"/>
  <c r="P27" i="18"/>
  <c r="K27" i="18"/>
  <c r="J27" i="18"/>
  <c r="L27" i="18" s="1"/>
  <c r="M27" i="18"/>
  <c r="N27" i="18" s="1"/>
  <c r="R27" i="18" s="1"/>
  <c r="P188" i="18"/>
  <c r="K188" i="18"/>
  <c r="J188" i="18"/>
  <c r="L188" i="18" s="1"/>
  <c r="P20" i="18"/>
  <c r="G212" i="18"/>
  <c r="K20" i="18"/>
  <c r="J20" i="18"/>
  <c r="P186" i="18"/>
  <c r="K186" i="18"/>
  <c r="J186" i="18"/>
  <c r="P154" i="18"/>
  <c r="K154" i="18"/>
  <c r="J154" i="18"/>
  <c r="L154" i="18" s="1"/>
  <c r="M154" i="18"/>
  <c r="N154" i="18" s="1"/>
  <c r="R154" i="18" s="1"/>
  <c r="P122" i="18"/>
  <c r="K122" i="18"/>
  <c r="J122" i="18"/>
  <c r="L122" i="18" s="1"/>
  <c r="P90" i="18"/>
  <c r="K90" i="18"/>
  <c r="J90" i="18"/>
  <c r="L90" i="18" s="1"/>
  <c r="M90" i="18"/>
  <c r="N90" i="18" s="1"/>
  <c r="R90" i="18" s="1"/>
  <c r="P58" i="18"/>
  <c r="K58" i="18"/>
  <c r="J58" i="18"/>
  <c r="L58" i="18" s="1"/>
  <c r="P26" i="18"/>
  <c r="K26" i="18"/>
  <c r="J26" i="18"/>
  <c r="L26" i="18" s="1"/>
  <c r="P156" i="18"/>
  <c r="K156" i="18"/>
  <c r="J156" i="18"/>
  <c r="P201" i="18"/>
  <c r="K201" i="18"/>
  <c r="J201" i="18"/>
  <c r="P169" i="18"/>
  <c r="K169" i="18"/>
  <c r="J169" i="18"/>
  <c r="L169" i="18" s="1"/>
  <c r="P137" i="18"/>
  <c r="K137" i="18"/>
  <c r="J137" i="18"/>
  <c r="L137" i="18" s="1"/>
  <c r="P105" i="18"/>
  <c r="K105" i="18"/>
  <c r="J105" i="18"/>
  <c r="L105" i="18" s="1"/>
  <c r="P73" i="18"/>
  <c r="K73" i="18"/>
  <c r="J73" i="18"/>
  <c r="L73" i="18" s="1"/>
  <c r="M73" i="18"/>
  <c r="N73" i="18" s="1"/>
  <c r="R73" i="18" s="1"/>
  <c r="P41" i="18"/>
  <c r="K41" i="18"/>
  <c r="J41" i="18"/>
  <c r="L41" i="18" s="1"/>
  <c r="P85" i="18"/>
  <c r="K85" i="18"/>
  <c r="J85" i="18"/>
  <c r="M85" i="18"/>
  <c r="P116" i="18"/>
  <c r="K116" i="18"/>
  <c r="J116" i="18"/>
  <c r="L116" i="18" s="1"/>
  <c r="P200" i="18"/>
  <c r="K200" i="18"/>
  <c r="J200" i="18"/>
  <c r="L200" i="18" s="1"/>
  <c r="P168" i="18"/>
  <c r="K168" i="18"/>
  <c r="J168" i="18"/>
  <c r="P136" i="18"/>
  <c r="K136" i="18"/>
  <c r="J136" i="18"/>
  <c r="L136" i="18" s="1"/>
  <c r="M136" i="18"/>
  <c r="N136" i="18" s="1"/>
  <c r="R136" i="18" s="1"/>
  <c r="P104" i="18"/>
  <c r="K104" i="18"/>
  <c r="J104" i="18"/>
  <c r="L104" i="18" s="1"/>
  <c r="P72" i="18"/>
  <c r="K72" i="18"/>
  <c r="J72" i="18"/>
  <c r="L72" i="18" s="1"/>
  <c r="M72" i="18"/>
  <c r="N72" i="18" s="1"/>
  <c r="R72" i="18" s="1"/>
  <c r="P40" i="18"/>
  <c r="K40" i="18"/>
  <c r="J40" i="18"/>
  <c r="L40" i="18" s="1"/>
  <c r="P165" i="18"/>
  <c r="K165" i="18"/>
  <c r="J165" i="18"/>
  <c r="L165" i="18" s="1"/>
  <c r="P77" i="18"/>
  <c r="K77" i="18"/>
  <c r="J77" i="18"/>
  <c r="P207" i="18"/>
  <c r="K207" i="18"/>
  <c r="J207" i="18"/>
  <c r="P175" i="18"/>
  <c r="K175" i="18"/>
  <c r="J175" i="18"/>
  <c r="L175" i="18" s="1"/>
  <c r="P143" i="18"/>
  <c r="K143" i="18"/>
  <c r="J143" i="18"/>
  <c r="L143" i="18" s="1"/>
  <c r="P111" i="18"/>
  <c r="K111" i="18"/>
  <c r="J111" i="18"/>
  <c r="L111" i="18" s="1"/>
  <c r="P79" i="18"/>
  <c r="K79" i="18"/>
  <c r="J79" i="18"/>
  <c r="L79" i="18" s="1"/>
  <c r="M79" i="18"/>
  <c r="N79" i="18" s="1"/>
  <c r="R79" i="18" s="1"/>
  <c r="P47" i="18"/>
  <c r="K47" i="18"/>
  <c r="J47" i="18"/>
  <c r="L47" i="18" s="1"/>
  <c r="M47" i="18"/>
  <c r="N47" i="18" s="1"/>
  <c r="R47" i="18" s="1"/>
  <c r="P117" i="18"/>
  <c r="K117" i="18"/>
  <c r="J117" i="18"/>
  <c r="L117" i="18" s="1"/>
  <c r="M117" i="18"/>
  <c r="N117" i="18" s="1"/>
  <c r="R117" i="18" s="1"/>
  <c r="P84" i="18"/>
  <c r="K84" i="18"/>
  <c r="J84" i="18"/>
  <c r="L84" i="18" s="1"/>
  <c r="M84" i="18"/>
  <c r="N84" i="18" s="1"/>
  <c r="R84" i="18" s="1"/>
  <c r="P190" i="18"/>
  <c r="K190" i="18"/>
  <c r="J190" i="18"/>
  <c r="L190" i="18" s="1"/>
  <c r="M190" i="18"/>
  <c r="N190" i="18" s="1"/>
  <c r="R190" i="18" s="1"/>
  <c r="P158" i="18"/>
  <c r="K158" i="18"/>
  <c r="J158" i="18"/>
  <c r="L158" i="18" s="1"/>
  <c r="M158" i="18"/>
  <c r="N158" i="18" s="1"/>
  <c r="R158" i="18" s="1"/>
  <c r="P126" i="18"/>
  <c r="K126" i="18"/>
  <c r="J126" i="18"/>
  <c r="L126" i="18" s="1"/>
  <c r="M126" i="18"/>
  <c r="N126" i="18" s="1"/>
  <c r="R126" i="18" s="1"/>
  <c r="P94" i="18"/>
  <c r="K94" i="18"/>
  <c r="J94" i="18"/>
  <c r="L94" i="18" s="1"/>
  <c r="M94" i="18"/>
  <c r="N94" i="18" s="1"/>
  <c r="R94" i="18" s="1"/>
  <c r="P62" i="18"/>
  <c r="K62" i="18"/>
  <c r="J62" i="18"/>
  <c r="L62" i="18" s="1"/>
  <c r="M62" i="18"/>
  <c r="N62" i="18" s="1"/>
  <c r="R62" i="18" s="1"/>
  <c r="P30" i="18"/>
  <c r="K30" i="18"/>
  <c r="J30" i="18"/>
  <c r="L30" i="18" s="1"/>
  <c r="M30" i="18"/>
  <c r="N30" i="18" s="1"/>
  <c r="R30" i="18" s="1"/>
  <c r="P157" i="18"/>
  <c r="K157" i="18"/>
  <c r="J157" i="18"/>
  <c r="L157" i="18" s="1"/>
  <c r="M157" i="18"/>
  <c r="N157" i="18" s="1"/>
  <c r="R157" i="18" s="1"/>
  <c r="P29" i="18"/>
  <c r="K29" i="18"/>
  <c r="J29" i="18"/>
  <c r="L29" i="18" s="1"/>
  <c r="M29" i="18"/>
  <c r="N29" i="18" s="1"/>
  <c r="R29" i="18" s="1"/>
  <c r="P44" i="18"/>
  <c r="K44" i="18"/>
  <c r="J44" i="18"/>
  <c r="L44" i="18" s="1"/>
  <c r="M44" i="18"/>
  <c r="N44" i="18" s="1"/>
  <c r="R44" i="18" s="1"/>
  <c r="M115" i="18" l="1"/>
  <c r="N115" i="18" s="1"/>
  <c r="R115" i="18" s="1"/>
  <c r="M178" i="18"/>
  <c r="N178" i="18" s="1"/>
  <c r="R178" i="18" s="1"/>
  <c r="M125" i="18"/>
  <c r="N125" i="18" s="1"/>
  <c r="R125" i="18" s="1"/>
  <c r="M97" i="18"/>
  <c r="N97" i="18" s="1"/>
  <c r="R97" i="18" s="1"/>
  <c r="M76" i="18"/>
  <c r="N76" i="18" s="1"/>
  <c r="R76" i="18" s="1"/>
  <c r="M128" i="18"/>
  <c r="N128" i="18" s="1"/>
  <c r="R128" i="18" s="1"/>
  <c r="M199" i="18"/>
  <c r="N199" i="18" s="1"/>
  <c r="R199" i="18" s="1"/>
  <c r="M71" i="18"/>
  <c r="N71" i="18" s="1"/>
  <c r="R71" i="18" s="1"/>
  <c r="M36" i="18"/>
  <c r="N36" i="18" s="1"/>
  <c r="R36" i="18" s="1"/>
  <c r="M118" i="18"/>
  <c r="N118" i="18" s="1"/>
  <c r="R118" i="18" s="1"/>
  <c r="M54" i="18"/>
  <c r="N54" i="18" s="1"/>
  <c r="R54" i="18" s="1"/>
  <c r="M195" i="18"/>
  <c r="N195" i="18" s="1"/>
  <c r="R195" i="18" s="1"/>
  <c r="M45" i="18"/>
  <c r="N45" i="18" s="1"/>
  <c r="R45" i="18" s="1"/>
  <c r="M204" i="18"/>
  <c r="N204" i="18" s="1"/>
  <c r="R204" i="18" s="1"/>
  <c r="M205" i="18"/>
  <c r="N205" i="18" s="1"/>
  <c r="R205" i="18" s="1"/>
  <c r="M112" i="18"/>
  <c r="N112" i="18" s="1"/>
  <c r="R112" i="18" s="1"/>
  <c r="M198" i="18"/>
  <c r="N198" i="18" s="1"/>
  <c r="R198" i="18" s="1"/>
  <c r="M147" i="18"/>
  <c r="N147" i="18" s="1"/>
  <c r="R147" i="18" s="1"/>
  <c r="M163" i="18"/>
  <c r="N163" i="18" s="1"/>
  <c r="R163" i="18" s="1"/>
  <c r="M66" i="18"/>
  <c r="N66" i="18" s="1"/>
  <c r="R66" i="18" s="1"/>
  <c r="M164" i="18"/>
  <c r="N164" i="18" s="1"/>
  <c r="R164" i="18" s="1"/>
  <c r="M134" i="18"/>
  <c r="N134" i="18" s="1"/>
  <c r="R134" i="18" s="1"/>
  <c r="M179" i="18"/>
  <c r="N179" i="18" s="1"/>
  <c r="R179" i="18" s="1"/>
  <c r="M51" i="18"/>
  <c r="N51" i="18" s="1"/>
  <c r="R51" i="18" s="1"/>
  <c r="M146" i="18"/>
  <c r="N146" i="18" s="1"/>
  <c r="R146" i="18" s="1"/>
  <c r="M108" i="18"/>
  <c r="N108" i="18" s="1"/>
  <c r="R108" i="18" s="1"/>
  <c r="M65" i="18"/>
  <c r="N65" i="18" s="1"/>
  <c r="R65" i="18" s="1"/>
  <c r="M160" i="18"/>
  <c r="M32" i="18"/>
  <c r="N32" i="18" s="1"/>
  <c r="R32" i="18" s="1"/>
  <c r="M167" i="18"/>
  <c r="N167" i="18" s="1"/>
  <c r="R167" i="18" s="1"/>
  <c r="M53" i="18"/>
  <c r="N53" i="18" s="1"/>
  <c r="R53" i="18" s="1"/>
  <c r="M141" i="18"/>
  <c r="N141" i="18" s="1"/>
  <c r="R141" i="18" s="1"/>
  <c r="M139" i="18"/>
  <c r="N139" i="18" s="1"/>
  <c r="R139" i="18" s="1"/>
  <c r="M75" i="18"/>
  <c r="N75" i="18" s="1"/>
  <c r="R75" i="18" s="1"/>
  <c r="M100" i="18"/>
  <c r="N100" i="18" s="1"/>
  <c r="R100" i="18" s="1"/>
  <c r="M106" i="18"/>
  <c r="M131" i="18"/>
  <c r="N131" i="18" s="1"/>
  <c r="R131" i="18" s="1"/>
  <c r="M34" i="18"/>
  <c r="N34" i="18" s="1"/>
  <c r="R34" i="18" s="1"/>
  <c r="M49" i="18"/>
  <c r="N49" i="18" s="1"/>
  <c r="R49" i="18" s="1"/>
  <c r="M80" i="18"/>
  <c r="N80" i="18" s="1"/>
  <c r="R80" i="18" s="1"/>
  <c r="M60" i="18"/>
  <c r="N60" i="18" s="1"/>
  <c r="R60" i="18" s="1"/>
  <c r="M151" i="18"/>
  <c r="M87" i="18"/>
  <c r="N87" i="18" s="1"/>
  <c r="R87" i="18" s="1"/>
  <c r="M23" i="18"/>
  <c r="N23" i="18" s="1"/>
  <c r="R23" i="18" s="1"/>
  <c r="M166" i="18"/>
  <c r="N166" i="18" s="1"/>
  <c r="R166" i="18" s="1"/>
  <c r="M38" i="18"/>
  <c r="N38" i="18" s="1"/>
  <c r="R38" i="18" s="1"/>
  <c r="M69" i="18"/>
  <c r="N69" i="18" s="1"/>
  <c r="R69" i="18" s="1"/>
  <c r="M186" i="18"/>
  <c r="M122" i="18"/>
  <c r="N122" i="18" s="1"/>
  <c r="R122" i="18" s="1"/>
  <c r="M58" i="18"/>
  <c r="N58" i="18" s="1"/>
  <c r="R58" i="18" s="1"/>
  <c r="M156" i="18"/>
  <c r="M169" i="18"/>
  <c r="N169" i="18" s="1"/>
  <c r="R169" i="18" s="1"/>
  <c r="M105" i="18"/>
  <c r="N105" i="18" s="1"/>
  <c r="R105" i="18" s="1"/>
  <c r="M41" i="18"/>
  <c r="N41" i="18" s="1"/>
  <c r="R41" i="18" s="1"/>
  <c r="M116" i="18"/>
  <c r="N116" i="18" s="1"/>
  <c r="R116" i="18" s="1"/>
  <c r="M168" i="18"/>
  <c r="M104" i="18"/>
  <c r="N104" i="18" s="1"/>
  <c r="R104" i="18" s="1"/>
  <c r="M40" i="18"/>
  <c r="N40" i="18" s="1"/>
  <c r="R40" i="18" s="1"/>
  <c r="M77" i="18"/>
  <c r="M175" i="18"/>
  <c r="N175" i="18" s="1"/>
  <c r="R175" i="18" s="1"/>
  <c r="M111" i="18"/>
  <c r="N111" i="18" s="1"/>
  <c r="R111" i="18" s="1"/>
  <c r="M183" i="18"/>
  <c r="N183" i="18" s="1"/>
  <c r="R183" i="18" s="1"/>
  <c r="M103" i="18"/>
  <c r="N103" i="18" s="1"/>
  <c r="R103" i="18" s="1"/>
  <c r="M67" i="18"/>
  <c r="N67" i="18" s="1"/>
  <c r="R67" i="18" s="1"/>
  <c r="M33" i="18"/>
  <c r="N33" i="18" s="1"/>
  <c r="R33" i="18" s="1"/>
  <c r="M145" i="18"/>
  <c r="N145" i="18" s="1"/>
  <c r="R145" i="18" s="1"/>
  <c r="M26" i="18"/>
  <c r="N26" i="18" s="1"/>
  <c r="R26" i="18" s="1"/>
  <c r="M207" i="18"/>
  <c r="M201" i="18"/>
  <c r="M119" i="18"/>
  <c r="N119" i="18" s="1"/>
  <c r="R119" i="18" s="1"/>
  <c r="M182" i="18"/>
  <c r="N182" i="18" s="1"/>
  <c r="R182" i="18" s="1"/>
  <c r="M83" i="18"/>
  <c r="N83" i="18" s="1"/>
  <c r="R83" i="18" s="1"/>
  <c r="M144" i="18"/>
  <c r="N144" i="18" s="1"/>
  <c r="R144" i="18" s="1"/>
  <c r="M209" i="18"/>
  <c r="N209" i="18" s="1"/>
  <c r="R209" i="18" s="1"/>
  <c r="M68" i="18"/>
  <c r="N68" i="18" s="1"/>
  <c r="R68" i="18" s="1"/>
  <c r="M99" i="18"/>
  <c r="N99" i="18" s="1"/>
  <c r="R99" i="18" s="1"/>
  <c r="M109" i="18"/>
  <c r="N109" i="18" s="1"/>
  <c r="R109" i="18" s="1"/>
  <c r="M46" i="18"/>
  <c r="N46" i="18" s="1"/>
  <c r="R46" i="18" s="1"/>
  <c r="M110" i="18"/>
  <c r="N110" i="18" s="1"/>
  <c r="R110" i="18" s="1"/>
  <c r="M174" i="18"/>
  <c r="M196" i="18"/>
  <c r="M63" i="18"/>
  <c r="M127" i="18"/>
  <c r="M191" i="18"/>
  <c r="M133" i="18"/>
  <c r="M56" i="18"/>
  <c r="M120" i="18"/>
  <c r="N120" i="18" s="1"/>
  <c r="R120" i="18" s="1"/>
  <c r="M184" i="18"/>
  <c r="N184" i="18" s="1"/>
  <c r="R184" i="18" s="1"/>
  <c r="M172" i="18"/>
  <c r="N172" i="18" s="1"/>
  <c r="R172" i="18" s="1"/>
  <c r="M57" i="18"/>
  <c r="N57" i="18" s="1"/>
  <c r="R57" i="18" s="1"/>
  <c r="M121" i="18"/>
  <c r="M185" i="18"/>
  <c r="M42" i="18"/>
  <c r="M138" i="18"/>
  <c r="M43" i="18"/>
  <c r="M22" i="18"/>
  <c r="M129" i="18"/>
  <c r="M197" i="18"/>
  <c r="M162" i="18"/>
  <c r="M192" i="18"/>
  <c r="N192" i="18" s="1"/>
  <c r="R192" i="18" s="1"/>
  <c r="M189" i="18"/>
  <c r="N189" i="18" s="1"/>
  <c r="R189" i="18" s="1"/>
  <c r="K14" i="18"/>
  <c r="K212" i="18"/>
  <c r="M165" i="18"/>
  <c r="N165" i="18" s="1"/>
  <c r="R165" i="18" s="1"/>
  <c r="M143" i="18"/>
  <c r="N143" i="18" s="1"/>
  <c r="R143" i="18" s="1"/>
  <c r="L207" i="18"/>
  <c r="L168" i="18"/>
  <c r="M137" i="18"/>
  <c r="N137" i="18" s="1"/>
  <c r="R137" i="18" s="1"/>
  <c r="L201" i="18"/>
  <c r="L186" i="18"/>
  <c r="M188" i="18"/>
  <c r="N188" i="18" s="1"/>
  <c r="R188" i="18" s="1"/>
  <c r="M59" i="18"/>
  <c r="N59" i="18" s="1"/>
  <c r="R59" i="18" s="1"/>
  <c r="M123" i="18"/>
  <c r="N123" i="18" s="1"/>
  <c r="R123" i="18" s="1"/>
  <c r="M187" i="18"/>
  <c r="N187" i="18" s="1"/>
  <c r="R187" i="18" s="1"/>
  <c r="L69" i="18"/>
  <c r="M55" i="18"/>
  <c r="N55" i="18" s="1"/>
  <c r="R55" i="18" s="1"/>
  <c r="L49" i="18"/>
  <c r="L106" i="18"/>
  <c r="M203" i="18"/>
  <c r="N203" i="18" s="1"/>
  <c r="R203" i="18" s="1"/>
  <c r="L160" i="18"/>
  <c r="M210" i="18"/>
  <c r="N210" i="18" s="1"/>
  <c r="R210" i="18" s="1"/>
  <c r="M113" i="18"/>
  <c r="M149" i="18"/>
  <c r="N149" i="18" s="1"/>
  <c r="R149" i="18" s="1"/>
  <c r="N208" i="18"/>
  <c r="R208" i="18" s="1"/>
  <c r="N85" i="18"/>
  <c r="R85" i="18" s="1"/>
  <c r="N211" i="18"/>
  <c r="R211" i="18" s="1"/>
  <c r="J212" i="18"/>
  <c r="J14" i="18"/>
  <c r="L20" i="18"/>
  <c r="L77" i="18"/>
  <c r="M200" i="18"/>
  <c r="N200" i="18" s="1"/>
  <c r="R200" i="18" s="1"/>
  <c r="L85" i="18"/>
  <c r="L156" i="18"/>
  <c r="M20" i="18"/>
  <c r="M173" i="18"/>
  <c r="N173" i="18" s="1"/>
  <c r="R173" i="18" s="1"/>
  <c r="L151" i="18"/>
  <c r="M177" i="18"/>
  <c r="N177" i="18" s="1"/>
  <c r="R177" i="18" s="1"/>
  <c r="M170" i="18"/>
  <c r="N170" i="18" s="1"/>
  <c r="R170" i="18" s="1"/>
  <c r="L53" i="18"/>
  <c r="M21" i="18"/>
  <c r="N21" i="18" s="1"/>
  <c r="R21" i="18" s="1"/>
  <c r="L179" i="18"/>
  <c r="M102" i="18"/>
  <c r="N102" i="18" s="1"/>
  <c r="R102" i="18" s="1"/>
  <c r="M81" i="18"/>
  <c r="N81" i="18" s="1"/>
  <c r="R81" i="18" s="1"/>
  <c r="M98" i="18"/>
  <c r="N98" i="18" s="1"/>
  <c r="R98" i="18" s="1"/>
  <c r="M35" i="18"/>
  <c r="N35" i="18" s="1"/>
  <c r="R35" i="18" s="1"/>
  <c r="M132" i="18"/>
  <c r="N132" i="18" s="1"/>
  <c r="R132" i="18" s="1"/>
  <c r="M181" i="18"/>
  <c r="N181" i="18" s="1"/>
  <c r="R181" i="18" s="1"/>
  <c r="M78" i="18"/>
  <c r="N78" i="18" s="1"/>
  <c r="R78" i="18" s="1"/>
  <c r="M142" i="18"/>
  <c r="N142" i="18" s="1"/>
  <c r="R142" i="18" s="1"/>
  <c r="M206" i="18"/>
  <c r="N206" i="18" s="1"/>
  <c r="R206" i="18" s="1"/>
  <c r="M31" i="18"/>
  <c r="N31" i="18" s="1"/>
  <c r="R31" i="18" s="1"/>
  <c r="M95" i="18"/>
  <c r="N95" i="18" s="1"/>
  <c r="R95" i="18" s="1"/>
  <c r="M159" i="18"/>
  <c r="N159" i="18" s="1"/>
  <c r="R159" i="18" s="1"/>
  <c r="M124" i="18"/>
  <c r="N124" i="18" s="1"/>
  <c r="R124" i="18" s="1"/>
  <c r="M24" i="18"/>
  <c r="N24" i="18" s="1"/>
  <c r="R24" i="18" s="1"/>
  <c r="M88" i="18"/>
  <c r="N88" i="18" s="1"/>
  <c r="R88" i="18" s="1"/>
  <c r="M152" i="18"/>
  <c r="N152" i="18" s="1"/>
  <c r="R152" i="18" s="1"/>
  <c r="M28" i="18"/>
  <c r="N28" i="18" s="1"/>
  <c r="R28" i="18" s="1"/>
  <c r="M25" i="18"/>
  <c r="N25" i="18" s="1"/>
  <c r="R25" i="18" s="1"/>
  <c r="M89" i="18"/>
  <c r="N89" i="18" s="1"/>
  <c r="R89" i="18" s="1"/>
  <c r="M153" i="18"/>
  <c r="N153" i="18" s="1"/>
  <c r="R153" i="18" s="1"/>
  <c r="M52" i="18"/>
  <c r="N52" i="18" s="1"/>
  <c r="R52" i="18" s="1"/>
  <c r="M74" i="18"/>
  <c r="N74" i="18" s="1"/>
  <c r="R74" i="18" s="1"/>
  <c r="M202" i="18"/>
  <c r="N202" i="18" s="1"/>
  <c r="R202" i="18" s="1"/>
  <c r="M171" i="18"/>
  <c r="N171" i="18" s="1"/>
  <c r="R171" i="18" s="1"/>
  <c r="M64" i="18"/>
  <c r="N64" i="18" s="1"/>
  <c r="R64" i="18" s="1"/>
  <c r="M114" i="18"/>
  <c r="N114" i="18" s="1"/>
  <c r="R114" i="18" s="1"/>
  <c r="M150" i="18"/>
  <c r="N150" i="18" s="1"/>
  <c r="R150" i="18" s="1"/>
  <c r="M140" i="18"/>
  <c r="N140" i="18" s="1"/>
  <c r="R140" i="18" s="1"/>
  <c r="P14" i="18"/>
  <c r="P212" i="18"/>
  <c r="L110" i="18"/>
  <c r="L174" i="18"/>
  <c r="L196" i="18"/>
  <c r="L63" i="18"/>
  <c r="L127" i="18"/>
  <c r="L191" i="18"/>
  <c r="L133" i="18"/>
  <c r="L56" i="18"/>
  <c r="J13" i="18"/>
  <c r="L121" i="18"/>
  <c r="L185" i="18"/>
  <c r="L42" i="18"/>
  <c r="L138" i="18"/>
  <c r="L43" i="18"/>
  <c r="L22" i="18"/>
  <c r="L129" i="18"/>
  <c r="L197" i="18"/>
  <c r="L101" i="18"/>
  <c r="N101" i="18" s="1"/>
  <c r="R101" i="18" s="1"/>
  <c r="L208" i="18"/>
  <c r="L113" i="18"/>
  <c r="L162" i="18"/>
  <c r="L67" i="18"/>
  <c r="L211" i="18"/>
  <c r="K13" i="18"/>
  <c r="P13" i="18"/>
  <c r="N162" i="18" l="1"/>
  <c r="R162" i="18" s="1"/>
  <c r="N127" i="18"/>
  <c r="R127" i="18" s="1"/>
  <c r="N201" i="18"/>
  <c r="R201" i="18" s="1"/>
  <c r="N197" i="18"/>
  <c r="R197" i="18" s="1"/>
  <c r="N63" i="18"/>
  <c r="R63" i="18" s="1"/>
  <c r="N207" i="18"/>
  <c r="R207" i="18" s="1"/>
  <c r="N191" i="18"/>
  <c r="R191" i="18" s="1"/>
  <c r="N121" i="18"/>
  <c r="R121" i="18" s="1"/>
  <c r="L13" i="18"/>
  <c r="N56" i="18"/>
  <c r="N129" i="18"/>
  <c r="R129" i="18" s="1"/>
  <c r="N196" i="18"/>
  <c r="R196" i="18" s="1"/>
  <c r="N106" i="18"/>
  <c r="R106" i="18" s="1"/>
  <c r="N160" i="18"/>
  <c r="R160" i="18" s="1"/>
  <c r="N185" i="18"/>
  <c r="R185" i="18" s="1"/>
  <c r="N113" i="18"/>
  <c r="R113" i="18" s="1"/>
  <c r="N22" i="18"/>
  <c r="R22" i="18" s="1"/>
  <c r="N174" i="18"/>
  <c r="R174" i="18" s="1"/>
  <c r="N77" i="18"/>
  <c r="R77" i="18" s="1"/>
  <c r="N156" i="18"/>
  <c r="R156" i="18" s="1"/>
  <c r="M212" i="18"/>
  <c r="L14" i="18"/>
  <c r="L212" i="18"/>
  <c r="N20" i="18"/>
  <c r="N43" i="18"/>
  <c r="R43" i="18" s="1"/>
  <c r="N151" i="18"/>
  <c r="R151" i="18" s="1"/>
  <c r="N138" i="18"/>
  <c r="R138" i="18" s="1"/>
  <c r="M13" i="18"/>
  <c r="N42" i="18"/>
  <c r="R42" i="18" s="1"/>
  <c r="N133" i="18"/>
  <c r="R133" i="18" s="1"/>
  <c r="N168" i="18"/>
  <c r="R168" i="18" s="1"/>
  <c r="N186" i="18"/>
  <c r="R186" i="18" s="1"/>
  <c r="R56" i="18" l="1"/>
  <c r="R13" i="18" s="1"/>
  <c r="N13" i="18"/>
  <c r="R20" i="18"/>
  <c r="N14" i="18"/>
  <c r="R212" i="18" l="1"/>
  <c r="R14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rlp</author>
  </authors>
  <commentList>
    <comment ref="J2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True-Up ATRR and rate from current year's (t=0) update.
</t>
        </r>
      </text>
    </comment>
    <comment ref="K2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3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5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6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J19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Actual Charge based on after the fact "True-Up" rate for entire prior CY.</t>
        </r>
      </text>
    </comment>
    <comment ref="K19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Amount charged during the Rate Year based on projected rates.</t>
        </r>
      </text>
    </comment>
  </commentList>
</comments>
</file>

<file path=xl/sharedStrings.xml><?xml version="1.0" encoding="utf-8"?>
<sst xmlns="http://schemas.openxmlformats.org/spreadsheetml/2006/main" count="418" uniqueCount="100">
  <si>
    <t>Customer</t>
  </si>
  <si>
    <t>MW</t>
  </si>
  <si>
    <t>Total True-up</t>
  </si>
  <si>
    <t>True-Up w/o Interest</t>
  </si>
  <si>
    <t>Billing
Date*</t>
  </si>
  <si>
    <t>Payment Received*</t>
  </si>
  <si>
    <t>Annual RR</t>
  </si>
  <si>
    <t>Interest</t>
  </si>
  <si>
    <t>OMPA</t>
  </si>
  <si>
    <t>WFEC</t>
  </si>
  <si>
    <t>Monthly Rate</t>
  </si>
  <si>
    <t>True-up Values:  Surcharge / (Refund)</t>
  </si>
  <si>
    <t>Sched.</t>
  </si>
  <si>
    <t>ETEC</t>
  </si>
  <si>
    <t>AECC</t>
  </si>
  <si>
    <t>Greenbelt</t>
  </si>
  <si>
    <t>Lighthouse</t>
  </si>
  <si>
    <t>Coffeyville, KS</t>
  </si>
  <si>
    <t>Grand Total</t>
  </si>
  <si>
    <t>OG&amp;E</t>
  </si>
  <si>
    <t>AEP Revenue Adjustment</t>
  </si>
  <si>
    <t>PSO</t>
  </si>
  <si>
    <t>SWEPCO</t>
  </si>
  <si>
    <r>
      <t xml:space="preserve">NOTE:  </t>
    </r>
    <r>
      <rPr>
        <sz val="10"/>
        <rFont val="Arial"/>
        <family val="2"/>
      </rPr>
      <t>This is a normal part of the Annual True-up</t>
    </r>
  </si>
  <si>
    <t>Data</t>
  </si>
  <si>
    <t>Sum of True-Up w/o Interest</t>
  </si>
  <si>
    <t>Sum of Interest</t>
  </si>
  <si>
    <t>Sum of Total True-up</t>
  </si>
  <si>
    <t>Total Sum of True-Up w/o Interest</t>
  </si>
  <si>
    <t>Total Sum of Interest</t>
  </si>
  <si>
    <t>Total Sum of Total True-up</t>
  </si>
  <si>
    <t>(A)</t>
  </si>
  <si>
    <t>(B)</t>
  </si>
  <si>
    <t>(C)</t>
  </si>
  <si>
    <t>(D) = (B) - (C)</t>
  </si>
  <si>
    <t>(E)</t>
  </si>
  <si>
    <t>Projected</t>
  </si>
  <si>
    <r>
      <t xml:space="preserve">Projected </t>
    </r>
    <r>
      <rPr>
        <sz val="10"/>
        <rFont val="Arial Narrow"/>
        <family val="2"/>
      </rPr>
      <t>(Invoiced)</t>
    </r>
  </si>
  <si>
    <t xml:space="preserve">  ARR</t>
  </si>
  <si>
    <t xml:space="preserve">  Monthly Rates</t>
  </si>
  <si>
    <r>
      <t>True-Up
(</t>
    </r>
    <r>
      <rPr>
        <sz val="10"/>
        <rFont val="Arial"/>
        <family val="2"/>
      </rPr>
      <t>w/o Interest)</t>
    </r>
  </si>
  <si>
    <r>
      <t>Actual</t>
    </r>
    <r>
      <rPr>
        <sz val="10"/>
        <rFont val="Arial Narrow"/>
        <family val="2"/>
      </rPr>
      <t xml:space="preserve"> (True-Up)</t>
    </r>
  </si>
  <si>
    <r>
      <t xml:space="preserve">Actual </t>
    </r>
    <r>
      <rPr>
        <sz val="10"/>
        <rFont val="Arial Narrow"/>
        <family val="2"/>
      </rPr>
      <t>(True-Up)</t>
    </r>
  </si>
  <si>
    <t xml:space="preserve">    Non-Affiliate
    Subtotals</t>
  </si>
  <si>
    <t>TOTALS</t>
  </si>
  <si>
    <t>Total
True-Up Surcharge / (Refund)</t>
  </si>
  <si>
    <t>Comment</t>
  </si>
  <si>
    <t>Actual True-Up Rate</t>
  </si>
  <si>
    <t>Invoiced*** Charge (proj.)</t>
  </si>
  <si>
    <r>
      <t>Projected Rate</t>
    </r>
    <r>
      <rPr>
        <sz val="8"/>
        <rFont val="Arial"/>
        <family val="2"/>
      </rPr>
      <t xml:space="preserve"> (as Invoiced)</t>
    </r>
  </si>
  <si>
    <t>Sum of Invoiced*** Charge (proj.)</t>
  </si>
  <si>
    <t xml:space="preserve">  Customer</t>
  </si>
  <si>
    <t xml:space="preserve">    Affiliate
    Subtotals</t>
  </si>
  <si>
    <t>Customer True-Up for Amounts Billed</t>
  </si>
  <si>
    <t>Serivce Month</t>
  </si>
  <si>
    <t>Bentonville, AR</t>
  </si>
  <si>
    <t>Prescott, AR</t>
  </si>
  <si>
    <t>Minden, LA</t>
  </si>
  <si>
    <t>Hope, AR</t>
  </si>
  <si>
    <t>3rd Party Totals</t>
  </si>
  <si>
    <t>SPP Zone1 Totals (incl. PSO/SWE)</t>
  </si>
  <si>
    <t>Surcharge / (Refund)</t>
  </si>
  <si>
    <t>Total Sum of Invoiced*** Charge (proj.)</t>
  </si>
  <si>
    <r>
      <t xml:space="preserve">*** </t>
    </r>
    <r>
      <rPr>
        <sz val="8"/>
        <rFont val="Arial"/>
        <family val="2"/>
      </rPr>
      <t>Invoiced Charge reflects any subsequent routine invoice corrections by SPP.</t>
    </r>
  </si>
  <si>
    <t>Instructions</t>
  </si>
  <si>
    <r>
      <t>Roll Date: input trueup year in cell=</t>
    </r>
    <r>
      <rPr>
        <b/>
        <i/>
        <sz val="10"/>
        <rFont val="Arial"/>
        <family val="2"/>
      </rPr>
      <t>Transactions!N1</t>
    </r>
  </si>
  <si>
    <t>Update Prime Rates data:  see Prime-Rates tab</t>
  </si>
  <si>
    <r>
      <t>Verify Refund Date:  verify and change (if needed) Refund Date celll=</t>
    </r>
    <r>
      <rPr>
        <b/>
        <i/>
        <sz val="10"/>
        <rFont val="Arial"/>
        <family val="2"/>
      </rPr>
      <t>Transactions!W8</t>
    </r>
  </si>
  <si>
    <t>Billing/Pmt Rec'd Dates:  Verify these dates (currently set to formulaicly update relative to trueup year)</t>
  </si>
  <si>
    <t>Update SPP Zone1 NITS Customer list &amp; formulas (if needed): look at LoadWS in main template &amp; also check w/Load Settlements.</t>
  </si>
  <si>
    <t>Update invoiced Load values per month per customer (from LoadWS in main template) (transpose)</t>
  </si>
  <si>
    <t>Sum of True-Up Charge</t>
  </si>
  <si>
    <t>Total Sum of True-Up Charge</t>
  </si>
  <si>
    <r>
      <t xml:space="preserve">Refresh Pivot Table in </t>
    </r>
    <r>
      <rPr>
        <b/>
        <sz val="10"/>
        <rFont val="Arial"/>
        <family val="2"/>
      </rPr>
      <t>tab=PIVOT</t>
    </r>
  </si>
  <si>
    <t>NOTE:  Be aware that title changes to a Transaction tab column summarized in the pivot table cause such column to be dropped form the pivot table when it is refreshed.</t>
  </si>
  <si>
    <t>NOTE:  In that instance, manually update the LAYOUT of the pivot table to re-summarize the column that encountered a title change.</t>
  </si>
  <si>
    <t>NOTE:  The SUMMARY table in that tab contains GETPIVOTDATA functions that should still work as they reference tltle cells in Transactions tab.</t>
  </si>
  <si>
    <t>Update Rate Summary tab. (very manual process).</t>
  </si>
  <si>
    <t xml:space="preserve">            as contemplated in the AEP Formula Rate Protocols.</t>
  </si>
  <si>
    <t>NOTE:  "Rate Summary" tab is usually "walked-through" during customer meeting but not printed.</t>
  </si>
  <si>
    <t>NOTE:  Print to PDF the "Summary" tab as a supplement for customer Mtg handout and published PDFs.</t>
  </si>
  <si>
    <r>
      <t>Input Sched 9 ATRRs &amp; rates from prior 2 update's (projected) and this year's update (trueup)=</t>
    </r>
    <r>
      <rPr>
        <b/>
        <i/>
        <sz val="10"/>
        <rFont val="Arial"/>
        <family val="2"/>
      </rPr>
      <t>Transactions!J2:K8</t>
    </r>
  </si>
  <si>
    <t>SWEPCO-Valley</t>
  </si>
  <si>
    <t xml:space="preserve">    &lt;&lt; OKLAHOMA TRANSMISSION COMPANY &gt;&gt;</t>
  </si>
  <si>
    <t>AEP Oklahoma Transco</t>
  </si>
  <si>
    <t>* SPP bills customer on third business day, AEP receives on 24th or next business day.</t>
  </si>
  <si>
    <t>AECI</t>
  </si>
  <si>
    <t>Tax Rebilling Rate</t>
  </si>
  <si>
    <t>Tax True Up Billing</t>
  </si>
  <si>
    <t>Tax True Up</t>
  </si>
  <si>
    <t>Sum of Tax True Up Billing</t>
  </si>
  <si>
    <t>Total Sum of Tax True Up Billing</t>
  </si>
  <si>
    <t>Sum of Tax True Up</t>
  </si>
  <si>
    <t>Total Sum of Tax True Up</t>
  </si>
  <si>
    <t>(G) = (D) + (E) - (F)</t>
  </si>
  <si>
    <t>(G)</t>
  </si>
  <si>
    <t>January - December</t>
  </si>
  <si>
    <t>AEPTCo Formula Rate -- FERC Docket ER18-194</t>
  </si>
  <si>
    <t>Network Customer True-Up (Schedule 1 charges)</t>
  </si>
  <si>
    <t>2023 True Up Including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</si>
</sst>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"/>
    <numFmt numFmtId="168" formatCode="0.0%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i/>
      <sz val="9"/>
      <color indexed="10"/>
      <name val="Arial"/>
      <family val="2"/>
    </font>
    <font>
      <b/>
      <sz val="10"/>
      <color indexed="12"/>
      <name val="Arial"/>
      <family val="2"/>
    </font>
    <font>
      <b/>
      <i/>
      <sz val="10"/>
      <name val="Arial"/>
      <family val="2"/>
    </font>
    <font>
      <sz val="10"/>
      <color rgb="FF0000FF"/>
      <name val="Arial"/>
      <family val="2"/>
    </font>
    <font>
      <sz val="8"/>
      <color rgb="FF0066FF"/>
      <name val="Arial"/>
      <family val="2"/>
    </font>
    <font>
      <sz val="10"/>
      <name val="Arial Narrow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40"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 quotePrefix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23" fillId="6" borderId="0" xfId="0" applyFont="1" applyFill="1" applyProtection="1"/>
    <xf numFmtId="0" fontId="2" fillId="2" borderId="0" xfId="0" quotePrefix="1" applyFont="1" applyFill="1" applyAlignment="1" applyProtection="1">
      <alignment horizontal="left"/>
    </xf>
    <xf numFmtId="0" fontId="0" fillId="2" borderId="0" xfId="0" applyFill="1" applyProtection="1"/>
    <xf numFmtId="0" fontId="10" fillId="0" borderId="0" xfId="0" quotePrefix="1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16" fillId="0" borderId="1" xfId="0" quotePrefix="1" applyFont="1" applyFill="1" applyBorder="1" applyAlignment="1" applyProtection="1">
      <alignment horizontal="center" vertical="center"/>
    </xf>
    <xf numFmtId="0" fontId="15" fillId="0" borderId="2" xfId="0" quotePrefix="1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15" fillId="0" borderId="4" xfId="0" quotePrefix="1" applyFont="1" applyBorder="1" applyAlignment="1" applyProtection="1">
      <alignment horizontal="right"/>
    </xf>
    <xf numFmtId="0" fontId="15" fillId="0" borderId="0" xfId="0" quotePrefix="1" applyFont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>
      <alignment horizontal="centerContinuous"/>
    </xf>
    <xf numFmtId="0" fontId="14" fillId="0" borderId="5" xfId="0" applyFont="1" applyBorder="1" applyAlignment="1" applyProtection="1">
      <alignment horizontal="center" vertical="center" wrapText="1"/>
    </xf>
    <xf numFmtId="0" fontId="14" fillId="0" borderId="0" xfId="0" quotePrefix="1" applyFont="1" applyAlignment="1" applyProtection="1">
      <alignment horizontal="center" vertical="center" wrapText="1"/>
    </xf>
    <xf numFmtId="0" fontId="14" fillId="0" borderId="6" xfId="0" quotePrefix="1" applyFont="1" applyBorder="1" applyAlignment="1" applyProtection="1">
      <alignment horizontal="center" vertical="center" wrapText="1"/>
    </xf>
    <xf numFmtId="0" fontId="14" fillId="0" borderId="0" xfId="0" quotePrefix="1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/>
    </xf>
    <xf numFmtId="0" fontId="15" fillId="0" borderId="2" xfId="0" quotePrefix="1" applyFont="1" applyBorder="1" applyAlignment="1" applyProtection="1">
      <alignment horizontal="left" vertical="center"/>
    </xf>
    <xf numFmtId="0" fontId="15" fillId="0" borderId="3" xfId="0" quotePrefix="1" applyFont="1" applyBorder="1" applyAlignment="1" applyProtection="1">
      <alignment horizontal="left" vertical="center"/>
    </xf>
    <xf numFmtId="167" fontId="1" fillId="0" borderId="3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167" fontId="13" fillId="0" borderId="4" xfId="0" applyNumberFormat="1" applyFont="1" applyFill="1" applyBorder="1" applyAlignment="1" applyProtection="1">
      <alignment horizontal="center" vertical="center"/>
    </xf>
    <xf numFmtId="167" fontId="13" fillId="0" borderId="0" xfId="0" applyNumberFormat="1" applyFont="1" applyFill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vertical="center"/>
    </xf>
    <xf numFmtId="0" fontId="15" fillId="0" borderId="8" xfId="0" quotePrefix="1" applyFont="1" applyBorder="1" applyAlignment="1" applyProtection="1">
      <alignment horizontal="left" vertical="center"/>
    </xf>
    <xf numFmtId="0" fontId="12" fillId="0" borderId="8" xfId="0" quotePrefix="1" applyFont="1" applyFill="1" applyBorder="1" applyAlignment="1" applyProtection="1">
      <alignment horizontal="center" vertical="center"/>
    </xf>
    <xf numFmtId="167" fontId="13" fillId="0" borderId="8" xfId="0" quotePrefix="1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/>
    </xf>
    <xf numFmtId="0" fontId="15" fillId="0" borderId="10" xfId="0" quotePrefix="1" applyFont="1" applyBorder="1" applyAlignment="1" applyProtection="1">
      <alignment horizontal="left" vertical="center"/>
    </xf>
    <xf numFmtId="0" fontId="15" fillId="0" borderId="0" xfId="0" quotePrefix="1" applyFont="1" applyBorder="1" applyAlignment="1" applyProtection="1">
      <alignment horizontal="left" vertical="center"/>
    </xf>
    <xf numFmtId="164" fontId="13" fillId="0" borderId="0" xfId="0" quotePrefix="1" applyNumberFormat="1" applyFont="1" applyFill="1" applyBorder="1" applyAlignment="1" applyProtection="1">
      <alignment horizontal="center" vertical="center" wrapText="1"/>
    </xf>
    <xf numFmtId="164" fontId="13" fillId="0" borderId="11" xfId="0" quotePrefix="1" applyNumberFormat="1" applyFont="1" applyFill="1" applyBorder="1" applyAlignment="1" applyProtection="1">
      <alignment horizontal="center" vertical="center"/>
    </xf>
    <xf numFmtId="164" fontId="13" fillId="0" borderId="0" xfId="0" quotePrefix="1" applyNumberFormat="1" applyFont="1" applyFill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vertical="center"/>
    </xf>
    <xf numFmtId="0" fontId="15" fillId="0" borderId="1" xfId="0" quotePrefix="1" applyFont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center" vertical="center"/>
    </xf>
    <xf numFmtId="164" fontId="1" fillId="0" borderId="1" xfId="0" quotePrefix="1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14" fillId="0" borderId="0" xfId="0" quotePrefix="1" applyFont="1" applyFill="1" applyBorder="1" applyAlignment="1" applyProtection="1">
      <alignment horizontal="left"/>
    </xf>
    <xf numFmtId="0" fontId="10" fillId="0" borderId="0" xfId="0" applyFont="1" applyFill="1" applyBorder="1" applyProtection="1"/>
    <xf numFmtId="0" fontId="10" fillId="0" borderId="0" xfId="0" quotePrefix="1" applyFont="1" applyFill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0" fontId="0" fillId="0" borderId="0" xfId="0" applyBorder="1" applyProtection="1"/>
    <xf numFmtId="165" fontId="0" fillId="0" borderId="0" xfId="2" applyNumberFormat="1" applyFont="1" applyBorder="1" applyProtection="1"/>
    <xf numFmtId="0" fontId="0" fillId="0" borderId="0" xfId="0" quotePrefix="1" applyBorder="1" applyAlignment="1" applyProtection="1">
      <alignment horizontal="left"/>
    </xf>
    <xf numFmtId="0" fontId="0" fillId="0" borderId="0" xfId="0" applyBorder="1" applyAlignment="1" applyProtection="1">
      <alignment horizontal="center" vertical="center"/>
    </xf>
    <xf numFmtId="0" fontId="0" fillId="0" borderId="0" xfId="0" quotePrefix="1" applyBorder="1" applyAlignment="1" applyProtection="1">
      <alignment horizontal="center" vertical="center"/>
    </xf>
    <xf numFmtId="0" fontId="3" fillId="0" borderId="12" xfId="0" quotePrefix="1" applyFont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165" fontId="0" fillId="0" borderId="0" xfId="0" applyNumberFormat="1" applyProtection="1"/>
    <xf numFmtId="0" fontId="0" fillId="0" borderId="10" xfId="0" applyBorder="1" applyProtection="1"/>
    <xf numFmtId="165" fontId="0" fillId="0" borderId="17" xfId="2" applyNumberFormat="1" applyFont="1" applyBorder="1" applyProtection="1"/>
    <xf numFmtId="165" fontId="0" fillId="0" borderId="18" xfId="2" applyNumberFormat="1" applyFont="1" applyBorder="1" applyProtection="1"/>
    <xf numFmtId="0" fontId="0" fillId="0" borderId="10" xfId="0" quotePrefix="1" applyBorder="1" applyAlignment="1" applyProtection="1">
      <alignment horizontal="left"/>
    </xf>
    <xf numFmtId="43" fontId="0" fillId="0" borderId="0" xfId="0" applyNumberFormat="1" applyBorder="1" applyProtection="1"/>
    <xf numFmtId="0" fontId="0" fillId="0" borderId="20" xfId="0" applyBorder="1" applyProtection="1"/>
    <xf numFmtId="0" fontId="9" fillId="3" borderId="21" xfId="0" quotePrefix="1" applyFont="1" applyFill="1" applyBorder="1" applyAlignment="1" applyProtection="1">
      <alignment horizontal="left" vertical="center" wrapText="1"/>
    </xf>
    <xf numFmtId="165" fontId="0" fillId="3" borderId="22" xfId="2" applyNumberFormat="1" applyFont="1" applyFill="1" applyBorder="1" applyAlignment="1" applyProtection="1">
      <alignment vertical="center"/>
    </xf>
    <xf numFmtId="165" fontId="0" fillId="3" borderId="23" xfId="2" applyNumberFormat="1" applyFont="1" applyFill="1" applyBorder="1" applyAlignment="1" applyProtection="1">
      <alignment vertical="center"/>
    </xf>
    <xf numFmtId="165" fontId="3" fillId="3" borderId="24" xfId="2" applyNumberFormat="1" applyFont="1" applyFill="1" applyBorder="1" applyAlignment="1" applyProtection="1">
      <alignment vertical="center"/>
    </xf>
    <xf numFmtId="0" fontId="0" fillId="0" borderId="26" xfId="0" quotePrefix="1" applyBorder="1" applyAlignment="1" applyProtection="1">
      <alignment horizontal="left"/>
    </xf>
    <xf numFmtId="0" fontId="0" fillId="0" borderId="19" xfId="0" applyBorder="1" applyProtection="1"/>
    <xf numFmtId="0" fontId="0" fillId="0" borderId="27" xfId="0" applyBorder="1" applyProtection="1"/>
    <xf numFmtId="0" fontId="9" fillId="0" borderId="21" xfId="0" quotePrefix="1" applyFont="1" applyFill="1" applyBorder="1" applyAlignment="1" applyProtection="1">
      <alignment horizontal="left" vertical="center" wrapText="1"/>
    </xf>
    <xf numFmtId="165" fontId="0" fillId="0" borderId="22" xfId="2" applyNumberFormat="1" applyFont="1" applyFill="1" applyBorder="1" applyAlignment="1" applyProtection="1">
      <alignment vertical="center"/>
    </xf>
    <xf numFmtId="165" fontId="0" fillId="0" borderId="23" xfId="2" applyNumberFormat="1" applyFont="1" applyFill="1" applyBorder="1" applyAlignment="1" applyProtection="1">
      <alignment vertical="center"/>
    </xf>
    <xf numFmtId="165" fontId="3" fillId="0" borderId="24" xfId="2" applyNumberFormat="1" applyFont="1" applyFill="1" applyBorder="1" applyAlignment="1" applyProtection="1">
      <alignment vertical="center"/>
    </xf>
    <xf numFmtId="0" fontId="9" fillId="0" borderId="5" xfId="0" quotePrefix="1" applyFont="1" applyBorder="1" applyAlignment="1" applyProtection="1">
      <alignment horizontal="center" vertical="center" wrapText="1"/>
    </xf>
    <xf numFmtId="165" fontId="0" fillId="0" borderId="28" xfId="2" applyNumberFormat="1" applyFont="1" applyBorder="1" applyAlignment="1" applyProtection="1">
      <alignment vertical="center"/>
    </xf>
    <xf numFmtId="165" fontId="0" fillId="0" borderId="29" xfId="2" applyNumberFormat="1" applyFont="1" applyBorder="1" applyAlignment="1" applyProtection="1">
      <alignment vertical="center"/>
    </xf>
    <xf numFmtId="165" fontId="0" fillId="0" borderId="30" xfId="2" applyNumberFormat="1" applyFont="1" applyBorder="1" applyAlignment="1" applyProtection="1">
      <alignment vertical="center"/>
    </xf>
    <xf numFmtId="166" fontId="0" fillId="0" borderId="0" xfId="1" applyNumberFormat="1" applyFont="1" applyProtection="1"/>
    <xf numFmtId="166" fontId="0" fillId="0" borderId="0" xfId="0" applyNumberFormat="1" applyProtection="1"/>
    <xf numFmtId="0" fontId="0" fillId="0" borderId="35" xfId="0" applyBorder="1" applyProtection="1"/>
    <xf numFmtId="0" fontId="0" fillId="0" borderId="36" xfId="0" applyBorder="1" applyProtection="1"/>
    <xf numFmtId="0" fontId="0" fillId="0" borderId="35" xfId="0" pivotButton="1" applyBorder="1" applyProtection="1"/>
    <xf numFmtId="0" fontId="0" fillId="0" borderId="37" xfId="0" applyBorder="1" applyProtection="1"/>
    <xf numFmtId="17" fontId="0" fillId="0" borderId="35" xfId="0" applyNumberFormat="1" applyBorder="1" applyProtection="1"/>
    <xf numFmtId="17" fontId="0" fillId="0" borderId="38" xfId="0" applyNumberFormat="1" applyBorder="1" applyProtection="1"/>
    <xf numFmtId="17" fontId="0" fillId="0" borderId="39" xfId="0" applyNumberFormat="1" applyBorder="1" applyProtection="1"/>
    <xf numFmtId="166" fontId="0" fillId="0" borderId="35" xfId="0" applyNumberFormat="1" applyBorder="1" applyProtection="1"/>
    <xf numFmtId="166" fontId="0" fillId="0" borderId="38" xfId="0" applyNumberFormat="1" applyBorder="1" applyProtection="1"/>
    <xf numFmtId="166" fontId="0" fillId="0" borderId="39" xfId="0" applyNumberFormat="1" applyBorder="1" applyProtection="1"/>
    <xf numFmtId="0" fontId="0" fillId="0" borderId="40" xfId="0" applyBorder="1" applyProtection="1"/>
    <xf numFmtId="166" fontId="0" fillId="0" borderId="40" xfId="0" applyNumberFormat="1" applyBorder="1" applyProtection="1"/>
    <xf numFmtId="166" fontId="0" fillId="0" borderId="41" xfId="0" applyNumberFormat="1" applyBorder="1" applyProtection="1"/>
    <xf numFmtId="0" fontId="0" fillId="0" borderId="42" xfId="0" applyBorder="1" applyProtection="1"/>
    <xf numFmtId="166" fontId="0" fillId="0" borderId="42" xfId="0" applyNumberFormat="1" applyBorder="1" applyProtection="1"/>
    <xf numFmtId="166" fontId="0" fillId="0" borderId="43" xfId="0" applyNumberFormat="1" applyBorder="1" applyProtection="1"/>
    <xf numFmtId="166" fontId="0" fillId="0" borderId="44" xfId="0" applyNumberFormat="1" applyBorder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164" fontId="4" fillId="0" borderId="2" xfId="0" applyNumberFormat="1" applyFont="1" applyBorder="1" applyAlignment="1" applyProtection="1">
      <alignment horizontal="center"/>
    </xf>
    <xf numFmtId="164" fontId="4" fillId="0" borderId="3" xfId="0" applyNumberFormat="1" applyFont="1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164" fontId="9" fillId="0" borderId="14" xfId="0" applyNumberFormat="1" applyFont="1" applyBorder="1" applyAlignment="1" applyProtection="1">
      <alignment horizontal="center" wrapText="1"/>
    </xf>
    <xf numFmtId="164" fontId="4" fillId="0" borderId="14" xfId="0" applyNumberFormat="1" applyFont="1" applyBorder="1" applyAlignment="1" applyProtection="1">
      <alignment horizontal="center" wrapText="1"/>
    </xf>
    <xf numFmtId="0" fontId="0" fillId="0" borderId="16" xfId="0" applyBorder="1" applyProtection="1"/>
    <xf numFmtId="0" fontId="21" fillId="6" borderId="0" xfId="0" applyFont="1" applyFill="1" applyProtection="1"/>
    <xf numFmtId="0" fontId="0" fillId="0" borderId="1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167" fontId="7" fillId="6" borderId="0" xfId="0" applyNumberFormat="1" applyFont="1" applyFill="1" applyBorder="1" applyAlignment="1" applyProtection="1">
      <alignment horizontal="right"/>
    </xf>
    <xf numFmtId="10" fontId="24" fillId="0" borderId="0" xfId="4" quotePrefix="1" applyNumberFormat="1" applyFont="1" applyBorder="1" applyAlignment="1" applyProtection="1">
      <alignment horizontal="left"/>
    </xf>
    <xf numFmtId="0" fontId="0" fillId="0" borderId="11" xfId="0" applyBorder="1" applyProtection="1"/>
    <xf numFmtId="164" fontId="7" fillId="6" borderId="0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0" fillId="0" borderId="11" xfId="0" applyBorder="1" applyAlignment="1" applyProtection="1">
      <alignment horizontal="center"/>
    </xf>
    <xf numFmtId="168" fontId="0" fillId="0" borderId="11" xfId="4" applyNumberFormat="1" applyFont="1" applyBorder="1" applyAlignment="1" applyProtection="1">
      <alignment horizontal="center"/>
    </xf>
    <xf numFmtId="168" fontId="0" fillId="0" borderId="0" xfId="4" applyNumberFormat="1" applyFont="1" applyBorder="1" applyAlignment="1" applyProtection="1">
      <alignment horizontal="center"/>
    </xf>
    <xf numFmtId="0" fontId="0" fillId="0" borderId="31" xfId="0" applyBorder="1" applyProtection="1"/>
    <xf numFmtId="164" fontId="4" fillId="0" borderId="10" xfId="0" applyNumberFormat="1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Continuous"/>
    </xf>
    <xf numFmtId="164" fontId="19" fillId="0" borderId="0" xfId="0" applyNumberFormat="1" applyFont="1" applyBorder="1" applyAlignment="1" applyProtection="1">
      <alignment horizontal="center" wrapText="1"/>
    </xf>
    <xf numFmtId="164" fontId="4" fillId="0" borderId="0" xfId="0" quotePrefix="1" applyNumberFormat="1" applyFont="1" applyBorder="1" applyAlignment="1" applyProtection="1">
      <alignment horizontal="center" wrapText="1"/>
    </xf>
    <xf numFmtId="167" fontId="1" fillId="0" borderId="0" xfId="0" applyNumberFormat="1" applyFont="1" applyFill="1" applyBorder="1" applyAlignment="1" applyProtection="1">
      <alignment horizontal="right"/>
    </xf>
    <xf numFmtId="168" fontId="0" fillId="0" borderId="11" xfId="0" applyNumberFormat="1" applyBorder="1" applyProtection="1"/>
    <xf numFmtId="168" fontId="0" fillId="0" borderId="0" xfId="0" applyNumberFormat="1" applyBorder="1" applyProtection="1"/>
    <xf numFmtId="164" fontId="1" fillId="0" borderId="0" xfId="0" applyNumberFormat="1" applyFont="1" applyFill="1" applyBorder="1" applyAlignment="1" applyProtection="1">
      <alignment horizontal="right"/>
    </xf>
    <xf numFmtId="0" fontId="1" fillId="0" borderId="0" xfId="0" quotePrefix="1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164" fontId="20" fillId="0" borderId="0" xfId="0" quotePrefix="1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0" fillId="0" borderId="0" xfId="0" quotePrefix="1" applyFill="1" applyBorder="1" applyAlignment="1" applyProtection="1">
      <alignment horizontal="center"/>
    </xf>
    <xf numFmtId="164" fontId="6" fillId="0" borderId="0" xfId="0" applyNumberFormat="1" applyFont="1" applyAlignment="1" applyProtection="1">
      <alignment horizontal="left"/>
    </xf>
    <xf numFmtId="0" fontId="0" fillId="0" borderId="5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164" fontId="20" fillId="0" borderId="1" xfId="0" quotePrefix="1" applyNumberFormat="1" applyFont="1" applyFill="1" applyBorder="1" applyAlignment="1" applyProtection="1">
      <alignment horizontal="left"/>
    </xf>
    <xf numFmtId="164" fontId="1" fillId="0" borderId="1" xfId="0" applyNumberFormat="1" applyFont="1" applyFill="1" applyBorder="1" applyAlignment="1" applyProtection="1">
      <alignment horizontal="right"/>
    </xf>
    <xf numFmtId="10" fontId="1" fillId="0" borderId="1" xfId="4" quotePrefix="1" applyNumberFormat="1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31" xfId="0" applyBorder="1" applyAlignment="1" applyProtection="1">
      <alignment horizontal="center"/>
    </xf>
    <xf numFmtId="0" fontId="11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right"/>
    </xf>
    <xf numFmtId="10" fontId="0" fillId="0" borderId="0" xfId="4" applyNumberFormat="1" applyFont="1" applyAlignment="1" applyProtection="1">
      <alignment horizontal="center"/>
    </xf>
    <xf numFmtId="0" fontId="0" fillId="0" borderId="31" xfId="0" quotePrefix="1" applyBorder="1" applyAlignment="1" applyProtection="1">
      <alignment horizontal="right"/>
    </xf>
    <xf numFmtId="0" fontId="0" fillId="0" borderId="23" xfId="0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  <xf numFmtId="164" fontId="3" fillId="0" borderId="25" xfId="0" applyNumberFormat="1" applyFont="1" applyBorder="1" applyAlignment="1" applyProtection="1">
      <alignment horizontal="right"/>
    </xf>
    <xf numFmtId="167" fontId="0" fillId="0" borderId="23" xfId="0" applyNumberFormat="1" applyBorder="1" applyAlignment="1" applyProtection="1">
      <alignment horizontal="center"/>
    </xf>
    <xf numFmtId="167" fontId="0" fillId="4" borderId="25" xfId="0" applyNumberFormat="1" applyFill="1" applyBorder="1" applyAlignment="1" applyProtection="1">
      <alignment horizontal="center"/>
    </xf>
    <xf numFmtId="167" fontId="0" fillId="0" borderId="32" xfId="0" applyNumberForma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164" fontId="3" fillId="0" borderId="27" xfId="0" applyNumberFormat="1" applyFont="1" applyBorder="1" applyAlignment="1" applyProtection="1">
      <alignment horizontal="right"/>
    </xf>
    <xf numFmtId="14" fontId="1" fillId="0" borderId="17" xfId="0" quotePrefix="1" applyNumberFormat="1" applyFont="1" applyFill="1" applyBorder="1" applyAlignment="1" applyProtection="1">
      <alignment horizontal="left"/>
    </xf>
    <xf numFmtId="164" fontId="5" fillId="0" borderId="0" xfId="0" applyNumberFormat="1" applyFont="1" applyBorder="1" applyAlignment="1" applyProtection="1">
      <alignment horizontal="center"/>
    </xf>
    <xf numFmtId="164" fontId="5" fillId="0" borderId="31" xfId="0" applyNumberFormat="1" applyFont="1" applyBorder="1" applyAlignment="1" applyProtection="1">
      <alignment horizontal="right"/>
    </xf>
    <xf numFmtId="0" fontId="1" fillId="0" borderId="0" xfId="0" quotePrefix="1" applyFont="1" applyAlignment="1" applyProtection="1">
      <alignment horizontal="left"/>
    </xf>
    <xf numFmtId="166" fontId="1" fillId="0" borderId="0" xfId="1" applyNumberFormat="1" applyFont="1" applyFill="1" applyAlignment="1" applyProtection="1">
      <alignment horizontal="right"/>
    </xf>
    <xf numFmtId="166" fontId="1" fillId="0" borderId="0" xfId="1" quotePrefix="1" applyNumberFormat="1" applyFont="1" applyFill="1" applyAlignment="1" applyProtection="1">
      <alignment horizontal="left"/>
    </xf>
    <xf numFmtId="164" fontId="5" fillId="0" borderId="31" xfId="0" applyNumberFormat="1" applyFont="1" applyBorder="1" applyAlignment="1" applyProtection="1">
      <alignment horizontal="center"/>
    </xf>
    <xf numFmtId="14" fontId="0" fillId="0" borderId="17" xfId="0" quotePrefix="1" applyNumberFormat="1" applyFill="1" applyBorder="1" applyAlignment="1" applyProtection="1">
      <alignment horizontal="left"/>
    </xf>
    <xf numFmtId="44" fontId="5" fillId="0" borderId="0" xfId="2" applyNumberFormat="1" applyFont="1" applyAlignment="1" applyProtection="1">
      <alignment horizontal="center"/>
    </xf>
    <xf numFmtId="9" fontId="1" fillId="0" borderId="0" xfId="4" applyFont="1" applyAlignment="1" applyProtection="1">
      <alignment horizontal="center"/>
    </xf>
    <xf numFmtId="44" fontId="5" fillId="0" borderId="0" xfId="2" applyFont="1" applyAlignment="1" applyProtection="1">
      <alignment horizontal="center"/>
    </xf>
    <xf numFmtId="44" fontId="5" fillId="0" borderId="31" xfId="2" applyFont="1" applyBorder="1" applyAlignment="1" applyProtection="1">
      <alignment horizontal="center"/>
    </xf>
    <xf numFmtId="165" fontId="1" fillId="0" borderId="0" xfId="2" applyNumberFormat="1" applyFont="1" applyAlignment="1" applyProtection="1">
      <alignment horizontal="center"/>
    </xf>
    <xf numFmtId="0" fontId="4" fillId="0" borderId="0" xfId="0" quotePrefix="1" applyFont="1" applyBorder="1" applyAlignment="1" applyProtection="1">
      <alignment horizontal="center"/>
    </xf>
    <xf numFmtId="0" fontId="4" fillId="0" borderId="33" xfId="0" quotePrefix="1" applyFont="1" applyBorder="1" applyAlignment="1" applyProtection="1">
      <alignment horizontal="center"/>
    </xf>
    <xf numFmtId="164" fontId="4" fillId="0" borderId="22" xfId="0" quotePrefix="1" applyNumberFormat="1" applyFont="1" applyBorder="1" applyAlignment="1" applyProtection="1">
      <alignment horizontal="center" vertical="center" wrapText="1"/>
    </xf>
    <xf numFmtId="0" fontId="4" fillId="0" borderId="23" xfId="0" quotePrefix="1" applyFont="1" applyBorder="1" applyAlignment="1" applyProtection="1">
      <alignment horizontal="center" vertical="center" wrapText="1"/>
    </xf>
    <xf numFmtId="164" fontId="4" fillId="5" borderId="23" xfId="0" quotePrefix="1" applyNumberFormat="1" applyFont="1" applyFill="1" applyBorder="1" applyAlignment="1" applyProtection="1">
      <alignment horizontal="center" vertical="center" wrapText="1"/>
    </xf>
    <xf numFmtId="164" fontId="4" fillId="0" borderId="23" xfId="0" applyNumberFormat="1" applyFont="1" applyBorder="1" applyAlignment="1" applyProtection="1">
      <alignment horizontal="center" vertical="center" wrapText="1"/>
    </xf>
    <xf numFmtId="164" fontId="4" fillId="0" borderId="32" xfId="0" applyNumberFormat="1" applyFont="1" applyBorder="1" applyAlignment="1" applyProtection="1">
      <alignment horizontal="center" vertical="center" wrapText="1"/>
    </xf>
    <xf numFmtId="164" fontId="4" fillId="0" borderId="33" xfId="0" applyNumberFormat="1" applyFont="1" applyBorder="1" applyAlignment="1" applyProtection="1">
      <alignment horizontal="center" vertical="center" wrapText="1"/>
    </xf>
    <xf numFmtId="164" fontId="4" fillId="0" borderId="27" xfId="0" applyNumberFormat="1" applyFont="1" applyBorder="1" applyAlignment="1" applyProtection="1">
      <alignment horizontal="center" vertical="center" wrapText="1"/>
    </xf>
    <xf numFmtId="17" fontId="0" fillId="0" borderId="0" xfId="0" applyNumberFormat="1" applyBorder="1" applyAlignment="1" applyProtection="1">
      <alignment horizontal="center"/>
    </xf>
    <xf numFmtId="14" fontId="7" fillId="2" borderId="0" xfId="0" applyNumberFormat="1" applyFont="1" applyFill="1" applyBorder="1" applyAlignment="1" applyProtection="1">
      <alignment horizontal="left"/>
    </xf>
    <xf numFmtId="1" fontId="8" fillId="6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Border="1" applyProtection="1"/>
    <xf numFmtId="164" fontId="1" fillId="0" borderId="0" xfId="0" applyNumberFormat="1" applyFont="1" applyAlignment="1" applyProtection="1">
      <alignment horizontal="right"/>
    </xf>
    <xf numFmtId="164" fontId="0" fillId="0" borderId="0" xfId="0" applyNumberFormat="1" applyBorder="1" applyAlignment="1" applyProtection="1"/>
    <xf numFmtId="164" fontId="1" fillId="0" borderId="0" xfId="0" applyNumberFormat="1" applyFont="1" applyAlignment="1" applyProtection="1"/>
    <xf numFmtId="164" fontId="1" fillId="0" borderId="0" xfId="0" applyNumberFormat="1" applyFont="1" applyBorder="1" applyAlignment="1" applyProtection="1">
      <alignment horizontal="right"/>
    </xf>
    <xf numFmtId="164" fontId="0" fillId="0" borderId="19" xfId="0" applyNumberFormat="1" applyBorder="1" applyAlignment="1" applyProtection="1">
      <alignment horizontal="right"/>
    </xf>
    <xf numFmtId="14" fontId="0" fillId="0" borderId="0" xfId="0" quotePrefix="1" applyNumberFormat="1" applyBorder="1" applyAlignment="1" applyProtection="1">
      <alignment horizontal="left"/>
    </xf>
    <xf numFmtId="164" fontId="1" fillId="0" borderId="0" xfId="0" applyNumberFormat="1" applyFont="1" applyFill="1" applyBorder="1" applyAlignment="1" applyProtection="1"/>
    <xf numFmtId="164" fontId="0" fillId="0" borderId="0" xfId="0" applyNumberFormat="1" applyFill="1" applyBorder="1" applyAlignment="1" applyProtection="1"/>
    <xf numFmtId="164" fontId="6" fillId="0" borderId="8" xfId="0" applyNumberFormat="1" applyFont="1" applyBorder="1" applyProtection="1"/>
    <xf numFmtId="164" fontId="1" fillId="0" borderId="8" xfId="0" applyNumberFormat="1" applyFont="1" applyBorder="1" applyAlignment="1" applyProtection="1">
      <alignment horizontal="right"/>
    </xf>
    <xf numFmtId="164" fontId="0" fillId="0" borderId="8" xfId="0" applyNumberFormat="1" applyFill="1" applyBorder="1" applyAlignment="1" applyProtection="1"/>
    <xf numFmtId="164" fontId="1" fillId="0" borderId="8" xfId="0" applyNumberFormat="1" applyFont="1" applyFill="1" applyBorder="1" applyAlignment="1" applyProtection="1"/>
    <xf numFmtId="17" fontId="0" fillId="0" borderId="34" xfId="0" applyNumberFormat="1" applyBorder="1" applyAlignment="1" applyProtection="1">
      <alignment horizontal="center"/>
    </xf>
    <xf numFmtId="14" fontId="1" fillId="0" borderId="34" xfId="0" applyNumberFormat="1" applyFont="1" applyFill="1" applyBorder="1" applyProtection="1"/>
    <xf numFmtId="14" fontId="7" fillId="2" borderId="34" xfId="0" applyNumberFormat="1" applyFont="1" applyFill="1" applyBorder="1" applyAlignment="1" applyProtection="1">
      <alignment horizontal="left"/>
    </xf>
    <xf numFmtId="0" fontId="0" fillId="0" borderId="34" xfId="0" applyBorder="1" applyAlignment="1" applyProtection="1">
      <alignment horizontal="center"/>
    </xf>
    <xf numFmtId="14" fontId="1" fillId="0" borderId="0" xfId="0" applyNumberFormat="1" applyFont="1" applyFill="1" applyBorder="1" applyProtection="1"/>
    <xf numFmtId="0" fontId="0" fillId="0" borderId="34" xfId="0" applyBorder="1" applyProtection="1"/>
    <xf numFmtId="17" fontId="0" fillId="0" borderId="8" xfId="0" applyNumberFormat="1" applyBorder="1" applyAlignment="1" applyProtection="1">
      <alignment horizontal="center"/>
    </xf>
    <xf numFmtId="0" fontId="0" fillId="0" borderId="8" xfId="0" quotePrefix="1" applyBorder="1" applyAlignment="1" applyProtection="1">
      <alignment horizontal="left"/>
    </xf>
    <xf numFmtId="0" fontId="0" fillId="0" borderId="8" xfId="0" applyBorder="1" applyProtection="1"/>
    <xf numFmtId="14" fontId="1" fillId="0" borderId="8" xfId="0" applyNumberFormat="1" applyFont="1" applyFill="1" applyBorder="1" applyProtection="1"/>
    <xf numFmtId="14" fontId="0" fillId="0" borderId="8" xfId="0" quotePrefix="1" applyNumberFormat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8" xfId="0" applyFont="1" applyFill="1" applyBorder="1" applyAlignment="1" applyProtection="1">
      <alignment horizontal="left"/>
    </xf>
    <xf numFmtId="164" fontId="1" fillId="0" borderId="33" xfId="0" applyNumberFormat="1" applyFont="1" applyBorder="1" applyAlignment="1" applyProtection="1">
      <alignment horizontal="right"/>
    </xf>
    <xf numFmtId="1" fontId="0" fillId="0" borderId="0" xfId="0" applyNumberFormat="1" applyAlignment="1" applyProtection="1">
      <alignment horizontal="center"/>
    </xf>
    <xf numFmtId="164" fontId="0" fillId="0" borderId="19" xfId="0" applyNumberForma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45" xfId="0" applyBorder="1" applyProtection="1"/>
    <xf numFmtId="0" fontId="0" fillId="0" borderId="46" xfId="0" applyBorder="1" applyProtection="1"/>
    <xf numFmtId="0" fontId="0" fillId="0" borderId="0" xfId="0" quotePrefix="1" applyBorder="1" applyAlignment="1" applyProtection="1">
      <alignment horizontal="center"/>
    </xf>
    <xf numFmtId="166" fontId="0" fillId="0" borderId="0" xfId="0" applyNumberFormat="1" applyFill="1" applyBorder="1" applyProtection="1"/>
    <xf numFmtId="167" fontId="7" fillId="6" borderId="25" xfId="0" applyNumberFormat="1" applyFont="1" applyFill="1" applyBorder="1" applyAlignment="1" applyProtection="1">
      <alignment horizontal="center"/>
    </xf>
    <xf numFmtId="14" fontId="7" fillId="6" borderId="0" xfId="3" applyNumberFormat="1" applyFont="1" applyFill="1"/>
    <xf numFmtId="14" fontId="7" fillId="2" borderId="8" xfId="3" applyNumberFormat="1" applyFont="1" applyFill="1" applyBorder="1"/>
    <xf numFmtId="14" fontId="7" fillId="6" borderId="8" xfId="3" applyNumberFormat="1" applyFont="1" applyFill="1" applyBorder="1"/>
    <xf numFmtId="10" fontId="24" fillId="0" borderId="0" xfId="4" quotePrefix="1" applyNumberFormat="1" applyFont="1" applyFill="1" applyBorder="1" applyAlignment="1" applyProtection="1">
      <alignment horizontal="left"/>
    </xf>
    <xf numFmtId="164" fontId="5" fillId="0" borderId="0" xfId="0" applyNumberFormat="1" applyFont="1" applyFill="1" applyBorder="1" applyAlignment="1" applyProtection="1">
      <alignment horizontal="center"/>
    </xf>
    <xf numFmtId="164" fontId="4" fillId="0" borderId="23" xfId="0" quotePrefix="1" applyNumberFormat="1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left" vertical="center"/>
    </xf>
    <xf numFmtId="0" fontId="4" fillId="0" borderId="23" xfId="0" quotePrefix="1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164" fontId="4" fillId="0" borderId="14" xfId="0" quotePrefix="1" applyNumberFormat="1" applyFont="1" applyFill="1" applyBorder="1" applyAlignment="1" applyProtection="1">
      <alignment horizontal="center" wrapText="1"/>
    </xf>
    <xf numFmtId="166" fontId="25" fillId="0" borderId="40" xfId="0" applyNumberFormat="1" applyFont="1" applyBorder="1" applyProtection="1"/>
    <xf numFmtId="166" fontId="25" fillId="0" borderId="0" xfId="0" applyNumberFormat="1" applyFont="1" applyProtection="1"/>
    <xf numFmtId="166" fontId="25" fillId="0" borderId="41" xfId="0" applyNumberFormat="1" applyFont="1" applyBorder="1" applyProtection="1"/>
    <xf numFmtId="166" fontId="25" fillId="0" borderId="35" xfId="0" applyNumberFormat="1" applyFont="1" applyBorder="1" applyProtection="1"/>
    <xf numFmtId="166" fontId="25" fillId="0" borderId="38" xfId="0" applyNumberFormat="1" applyFont="1" applyBorder="1" applyProtection="1"/>
    <xf numFmtId="166" fontId="25" fillId="0" borderId="39" xfId="0" applyNumberFormat="1" applyFont="1" applyBorder="1" applyProtection="1"/>
    <xf numFmtId="0" fontId="3" fillId="0" borderId="0" xfId="0" quotePrefix="1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Percent" xfId="4" builtinId="5"/>
  </cellStyles>
  <dxfs count="171"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numFmt numFmtId="166" formatCode="_(* #,##0_);_(* \(#,##0\);_(* &quot;-&quot;??_);_(@_)"/>
    </dxf>
    <dxf>
      <numFmt numFmtId="35" formatCode="_(* #,##0.00_);_(* \(#,##0.00\);_(* &quot;-&quot;??_);_(@_)"/>
    </dxf>
    <dxf>
      <numFmt numFmtId="2" formatCode="0.00"/>
    </dxf>
    <dxf>
      <numFmt numFmtId="2" formatCode="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</dxf>
    <dxf>
      <numFmt numFmtId="164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175747" refreshedDate="45436.30997905093" createdVersion="6" refreshedVersion="8" recordCount="192" xr:uid="{00000000-000A-0000-FFFF-FFFF9E000000}">
  <cacheSource type="worksheet">
    <worksheetSource ref="B19:R211" sheet="Transactions"/>
  </cacheSource>
  <cacheFields count="17">
    <cacheField name="Serivce Month" numFmtId="17">
      <sharedItems containsSemiMixedTypes="0" containsNonDate="0" containsDate="1" containsString="0" minDate="2010-01-01T00:00:00" maxDate="2023-12-02T00:00:00" count="168"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2-01-01T00:00:00" u="1"/>
        <d v="2022-02-01T00:00:00" u="1"/>
        <d v="2022-03-01T00:00:00" u="1"/>
        <d v="2022-04-01T00:00:00" u="1"/>
        <d v="2022-05-01T00:00:00" u="1"/>
        <d v="2022-06-01T00:00:00" u="1"/>
        <d v="2022-07-01T00:00:00" u="1"/>
        <d v="2022-08-01T00:00:00" u="1"/>
        <d v="2022-09-01T00:00:00" u="1"/>
        <d v="2022-10-01T00:00:00" u="1"/>
        <d v="2022-11-01T00:00:00" u="1"/>
        <d v="2022-12-01T00:00:00" u="1"/>
        <d v="2013-05-01T00:00:00" u="1"/>
        <d v="2014-05-01T00:00:00" u="1"/>
        <d v="2015-05-01T00:00:00" u="1"/>
        <d v="2016-05-01T00:00:00" u="1"/>
        <d v="2017-05-01T00:00:00" u="1"/>
        <d v="2018-05-01T00:00:00" u="1"/>
        <d v="2019-05-01T00:00:00" u="1"/>
        <d v="2020-05-01T00:00:00" u="1"/>
        <d v="2010-11-01T00:00:00" u="1"/>
        <d v="2021-05-01T00:00:00" u="1"/>
        <d v="2011-11-01T00:00:00" u="1"/>
        <d v="2012-11-01T00:00:00" u="1"/>
        <d v="2013-11-01T00:00:00" u="1"/>
        <d v="2014-11-01T00:00:00" u="1"/>
        <d v="2015-11-01T00:00:00" u="1"/>
        <d v="2016-11-01T00:00:00" u="1"/>
        <d v="2017-11-01T00:00:00" u="1"/>
        <d v="2018-11-01T00:00:00" u="1"/>
        <d v="2019-11-01T00:00:00" u="1"/>
        <d v="2020-11-01T00:00:00" u="1"/>
        <d v="2021-11-01T00:00:00" u="1"/>
        <d v="2010-06-01T00:00:00" u="1"/>
        <d v="2011-06-01T00:00:00" u="1"/>
        <d v="2012-06-01T00:00:00" u="1"/>
        <d v="2013-06-01T00:00:00" u="1"/>
        <d v="2014-06-01T00:00:00" u="1"/>
        <d v="2015-06-01T00:00:00" u="1"/>
        <d v="2016-06-01T00:00:00" u="1"/>
        <d v="2017-06-01T00:00:00" u="1"/>
        <d v="2018-06-01T00:00:00" u="1"/>
        <d v="2019-06-01T00:00:00" u="1"/>
        <d v="2020-06-01T00:00:00" u="1"/>
        <d v="2010-12-01T00:00:00" u="1"/>
        <d v="2021-06-01T00:00:00" u="1"/>
        <d v="2011-12-01T00:00:00" u="1"/>
        <d v="2012-12-01T00:00:00" u="1"/>
        <d v="2013-12-01T00:00:00" u="1"/>
        <d v="2014-12-01T00:00:00" u="1"/>
        <d v="2015-12-01T00:00:00" u="1"/>
        <d v="2016-12-01T00:00:00" u="1"/>
        <d v="2017-12-01T00:00:00" u="1"/>
        <d v="2018-12-01T00:00:00" u="1"/>
        <d v="2019-12-01T00:00:00" u="1"/>
        <d v="2020-12-01T00:00:00" u="1"/>
        <d v="2021-12-01T00:00:00" u="1"/>
        <d v="2010-01-01T00:00:00" u="1"/>
        <d v="2011-01-01T00:00:00" u="1"/>
        <d v="2012-01-01T00:00:00" u="1"/>
        <d v="2013-01-01T00:00:00" u="1"/>
        <d v="2014-01-01T00:00:00" u="1"/>
        <d v="2015-01-01T00:00:00" u="1"/>
        <d v="2016-01-01T00:00:00" u="1"/>
        <d v="2017-01-01T00:00:00" u="1"/>
        <d v="2018-01-01T00:00:00" u="1"/>
        <d v="2019-01-01T00:00:00" u="1"/>
        <d v="2020-01-01T00:00:00" u="1"/>
        <d v="2010-07-01T00:00:00" u="1"/>
        <d v="2021-01-01T00:00:00" u="1"/>
        <d v="2011-07-01T00:00:00" u="1"/>
        <d v="2012-07-01T00:00:00" u="1"/>
        <d v="2013-07-01T00:00:00" u="1"/>
        <d v="2014-07-01T00:00:00" u="1"/>
        <d v="2015-07-01T00:00:00" u="1"/>
        <d v="2016-07-01T00:00:00" u="1"/>
        <d v="2017-07-01T00:00:00" u="1"/>
        <d v="2018-07-01T00:00:00" u="1"/>
        <d v="2019-07-01T00:00:00" u="1"/>
        <d v="2020-07-01T00:00:00" u="1"/>
        <d v="2021-07-01T00:00:00" u="1"/>
        <d v="2010-02-01T00:00:00" u="1"/>
        <d v="2011-02-01T00:00:00" u="1"/>
        <d v="2012-02-01T00:00:00" u="1"/>
        <d v="2013-02-01T00:00:00" u="1"/>
        <d v="2014-02-01T00:00:00" u="1"/>
        <d v="2015-02-01T00:00:00" u="1"/>
        <d v="2016-02-01T00:00:00" u="1"/>
        <d v="2017-02-01T00:00:00" u="1"/>
        <d v="2018-02-01T00:00:00" u="1"/>
        <d v="2019-02-01T00:00:00" u="1"/>
        <d v="2020-02-01T00:00:00" u="1"/>
        <d v="2010-08-01T00:00:00" u="1"/>
        <d v="2021-02-01T00:00:00" u="1"/>
        <d v="2011-08-01T00:00:00" u="1"/>
        <d v="2012-08-01T00:00:00" u="1"/>
        <d v="2013-08-01T00:00:00" u="1"/>
        <d v="2014-08-01T00:00:00" u="1"/>
        <d v="2015-08-01T00:00:00" u="1"/>
        <d v="2016-08-01T00:00:00" u="1"/>
        <d v="2017-08-01T00:00:00" u="1"/>
        <d v="2018-08-01T00:00:00" u="1"/>
        <d v="2019-08-01T00:00:00" u="1"/>
        <d v="2020-08-01T00:00:00" u="1"/>
        <d v="2021-08-01T00:00:00" u="1"/>
        <d v="2010-03-01T00:00:00" u="1"/>
        <d v="2011-03-01T00:00:00" u="1"/>
        <d v="2012-03-01T00:00:00" u="1"/>
        <d v="2013-03-01T00:00:00" u="1"/>
        <d v="2014-03-01T00:00:00" u="1"/>
        <d v="2015-03-01T00:00:00" u="1"/>
        <d v="2016-03-01T00:00:00" u="1"/>
        <d v="2017-03-01T00:00:00" u="1"/>
        <d v="2018-03-01T00:00:00" u="1"/>
        <d v="2019-03-01T00:00:00" u="1"/>
        <d v="2020-03-01T00:00:00" u="1"/>
        <d v="2010-09-01T00:00:00" u="1"/>
        <d v="2021-03-01T00:00:00" u="1"/>
        <d v="2011-09-01T00:00:00" u="1"/>
        <d v="2012-09-01T00:00:00" u="1"/>
        <d v="2013-09-01T00:00:00" u="1"/>
        <d v="2014-09-01T00:00:00" u="1"/>
        <d v="2015-09-01T00:00:00" u="1"/>
        <d v="2016-09-01T00:00:00" u="1"/>
        <d v="2017-09-01T00:00:00" u="1"/>
        <d v="2018-09-01T00:00:00" u="1"/>
        <d v="2019-09-01T00:00:00" u="1"/>
        <d v="2020-09-01T00:00:00" u="1"/>
        <d v="2021-09-01T00:00:00" u="1"/>
        <d v="2010-04-01T00:00:00" u="1"/>
        <d v="2011-04-01T00:00:00" u="1"/>
        <d v="2012-04-01T00:00:00" u="1"/>
        <d v="2013-04-01T00:00:00" u="1"/>
        <d v="2014-04-01T00:00:00" u="1"/>
        <d v="2015-04-01T00:00:00" u="1"/>
        <d v="2016-04-01T00:00:00" u="1"/>
        <d v="2017-04-01T00:00:00" u="1"/>
        <d v="2018-04-01T00:00:00" u="1"/>
        <d v="2019-04-01T00:00:00" u="1"/>
        <d v="2020-04-01T00:00:00" u="1"/>
        <d v="2010-10-01T00:00:00" u="1"/>
        <d v="2021-04-01T00:00:00" u="1"/>
        <d v="2011-10-01T00:00:00" u="1"/>
        <d v="2012-10-01T00:00:00" u="1"/>
        <d v="2013-10-01T00:00:00" u="1"/>
        <d v="2014-10-01T00:00:00" u="1"/>
        <d v="2015-10-01T00:00:00" u="1"/>
        <d v="2016-10-01T00:00:00" u="1"/>
        <d v="2017-10-01T00:00:00" u="1"/>
        <d v="2018-10-01T00:00:00" u="1"/>
        <d v="2019-10-01T00:00:00" u="1"/>
        <d v="2020-10-01T00:00:00" u="1"/>
        <d v="2021-10-01T00:00:00" u="1"/>
        <d v="2010-05-01T00:00:00" u="1"/>
        <d v="2011-05-01T00:00:00" u="1"/>
        <d v="2012-05-01T00:00:00" u="1"/>
      </sharedItems>
    </cacheField>
    <cacheField name="Billing_x000a_Date*" numFmtId="14">
      <sharedItems containsSemiMixedTypes="0" containsNonDate="0" containsDate="1" containsString="0" minDate="2023-02-03T00:00:00" maxDate="2024-01-04T00:00:00"/>
    </cacheField>
    <cacheField name="Payment Received*" numFmtId="14">
      <sharedItems containsSemiMixedTypes="0" containsNonDate="0" containsDate="1" containsString="0" minDate="2023-02-24T00:00:00" maxDate="2024-01-25T00:00:00"/>
    </cacheField>
    <cacheField name="Customer" numFmtId="0">
      <sharedItems count="22">
        <s v="PSO"/>
        <s v="SWEPCO"/>
        <s v="SWEPCO-Valley"/>
        <s v="AECC"/>
        <s v="AECI"/>
        <s v="WFEC"/>
        <s v="OMPA"/>
        <s v="OG&amp;E"/>
        <s v="ETEC"/>
        <s v="Greenbelt"/>
        <s v="Lighthouse"/>
        <s v="Bentonville, AR"/>
        <s v="Prescott, AR"/>
        <s v="Minden, LA"/>
        <s v="Hope, AR"/>
        <s v="Coffeyville, KS"/>
        <s v="Bentonville" u="1"/>
        <s v="Hope" u="1"/>
        <s v="NTEC" u="1"/>
        <s v="TEXLA" u="1"/>
        <s v="Prescott" u="1"/>
        <s v="Minden" u="1"/>
      </sharedItems>
    </cacheField>
    <cacheField name="Sched." numFmtId="0">
      <sharedItems containsSemiMixedTypes="0" containsString="0" containsNumber="1" containsInteger="1" minValue="9" maxValue="9"/>
    </cacheField>
    <cacheField name="MW" numFmtId="1">
      <sharedItems containsSemiMixedTypes="0" containsString="0" containsNumber="1" containsInteger="1" minValue="1" maxValue="4265"/>
    </cacheField>
    <cacheField name="Projected Rate (as Invoiced)" numFmtId="164">
      <sharedItems containsSemiMixedTypes="0" containsString="0" containsNumber="1" minValue="5.5726951227524033" maxValue="5.5726951227524033"/>
    </cacheField>
    <cacheField name="Actual True-Up Rate" numFmtId="164">
      <sharedItems containsSemiMixedTypes="0" containsString="0" containsNumber="1" minValue="5.6947303713270712" maxValue="5.6947303713270712"/>
    </cacheField>
    <cacheField name="True-Up Charge" numFmtId="164">
      <sharedItems containsSemiMixedTypes="0" containsString="0" containsNumber="1" minValue="5.6947303713270712" maxValue="24288.025033709957"/>
    </cacheField>
    <cacheField name="Invoiced*** Charge (proj.)" numFmtId="164">
      <sharedItems containsSemiMixedTypes="0" containsString="0" containsNumber="1" minValue="5.5726951227524033" maxValue="23767.544698539001"/>
    </cacheField>
    <cacheField name="True-Up w/o Interest" numFmtId="164">
      <sharedItems containsSemiMixedTypes="0" containsString="0" containsNumber="1" minValue="0.12203524857466785" maxValue="520.4803351709561"/>
    </cacheField>
    <cacheField name="Interest" numFmtId="164">
      <sharedItems containsSemiMixedTypes="0" containsString="0" containsNumber="1" minValue="1.0011073405833631E-2" maxValue="42.697228075880439"/>
    </cacheField>
    <cacheField name="2023 True Up Including Interest" numFmtId="164">
      <sharedItems containsSemiMixedTypes="0" containsString="0" containsNumber="1" minValue="0.13204632198050148" maxValue="563.17756324683648"/>
    </cacheField>
    <cacheField name="Tax Rebilling Rate" numFmtId="164">
      <sharedItems containsSemiMixedTypes="0" containsString="0" containsNumber="1" containsInteger="1" minValue="0" maxValue="0"/>
    </cacheField>
    <cacheField name="Tax True Up Billing" numFmtId="164">
      <sharedItems containsSemiMixedTypes="0" containsString="0" containsNumber="1" containsInteger="1" minValue="0" maxValue="0"/>
    </cacheField>
    <cacheField name="Tax True Up" numFmtId="164">
      <sharedItems containsSemiMixedTypes="0" containsString="0" containsNumber="1" containsInteger="1" minValue="0" maxValue="0"/>
    </cacheField>
    <cacheField name="Total True-up" numFmtId="164">
      <sharedItems containsSemiMixedTypes="0" containsString="0" containsNumber="1" minValue="0.13204632198050148" maxValue="563.1775632468364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2">
  <r>
    <x v="0"/>
    <d v="2023-02-03T00:00:00"/>
    <d v="2023-02-24T00:00:00"/>
    <x v="0"/>
    <n v="9"/>
    <n v="2810"/>
    <n v="5.5726951227524033"/>
    <n v="5.6947303713270712"/>
    <n v="16002.192343429069"/>
    <n v="15659.273294934253"/>
    <n v="342.9190484948158"/>
    <n v="28.131116270392507"/>
    <n v="371.05016476520831"/>
    <n v="0"/>
    <n v="0"/>
    <n v="0"/>
    <n v="371.05016476520831"/>
  </r>
  <r>
    <x v="1"/>
    <d v="2023-03-03T00:00:00"/>
    <d v="2023-03-24T00:00:00"/>
    <x v="0"/>
    <n v="9"/>
    <n v="2771"/>
    <n v="5.5726951227524033"/>
    <n v="5.6947303713270712"/>
    <n v="15780.097858947314"/>
    <n v="15441.93818514691"/>
    <n v="338.15967380040456"/>
    <n v="27.740684407564995"/>
    <n v="365.90035820796953"/>
    <n v="0"/>
    <n v="0"/>
    <n v="0"/>
    <n v="365.90035820796953"/>
  </r>
  <r>
    <x v="2"/>
    <d v="2023-04-05T00:00:00"/>
    <d v="2023-04-24T00:00:00"/>
    <x v="0"/>
    <n v="9"/>
    <n v="2389"/>
    <n v="5.5726951227524033"/>
    <n v="5.6947303713270712"/>
    <n v="13604.710857100374"/>
    <n v="13313.168648255492"/>
    <n v="291.54220884488132"/>
    <n v="23.916454366536549"/>
    <n v="315.45866321141784"/>
    <n v="0"/>
    <n v="0"/>
    <n v="0"/>
    <n v="315.45866321141784"/>
  </r>
  <r>
    <x v="3"/>
    <d v="2023-05-03T00:00:00"/>
    <d v="2023-05-24T00:00:00"/>
    <x v="0"/>
    <n v="9"/>
    <n v="2392"/>
    <n v="5.5726951227524033"/>
    <n v="5.6947303713270712"/>
    <n v="13621.795048214355"/>
    <n v="13329.886733623749"/>
    <n v="291.9083145906061"/>
    <n v="23.946487586754049"/>
    <n v="315.85480217736017"/>
    <n v="0"/>
    <n v="0"/>
    <n v="0"/>
    <n v="315.85480217736017"/>
  </r>
  <r>
    <x v="4"/>
    <d v="2023-06-05T00:00:00"/>
    <d v="2023-06-26T00:00:00"/>
    <x v="0"/>
    <n v="9"/>
    <n v="3231"/>
    <n v="5.5726951227524033"/>
    <n v="5.6947303713270712"/>
    <n v="18399.673829757769"/>
    <n v="18005.377941613016"/>
    <n v="394.2958881447521"/>
    <n v="32.345778174248466"/>
    <n v="426.64166631900059"/>
    <n v="0"/>
    <n v="0"/>
    <n v="0"/>
    <n v="426.64166631900059"/>
  </r>
  <r>
    <x v="5"/>
    <d v="2023-07-05T00:00:00"/>
    <d v="2023-07-24T00:00:00"/>
    <x v="0"/>
    <n v="9"/>
    <n v="4100"/>
    <n v="5.5726951227524033"/>
    <n v="5.6947303713270712"/>
    <n v="23348.394522440991"/>
    <n v="22848.050003284854"/>
    <n v="500.34451915613681"/>
    <n v="41.045400963917892"/>
    <n v="541.38992012005474"/>
    <n v="0"/>
    <n v="0"/>
    <n v="0"/>
    <n v="541.38992012005474"/>
  </r>
  <r>
    <x v="6"/>
    <d v="2023-08-03T00:00:00"/>
    <d v="2023-08-24T00:00:00"/>
    <x v="0"/>
    <n v="9"/>
    <n v="3988"/>
    <n v="5.5726951227524033"/>
    <n v="5.6947303713270712"/>
    <n v="22710.584720852359"/>
    <n v="22223.908149536583"/>
    <n v="486.67657131577653"/>
    <n v="39.92416074246453"/>
    <n v="526.60073205824108"/>
    <n v="0"/>
    <n v="0"/>
    <n v="0"/>
    <n v="526.60073205824108"/>
  </r>
  <r>
    <x v="7"/>
    <d v="2023-09-05T00:00:00"/>
    <d v="2023-09-25T00:00:00"/>
    <x v="0"/>
    <n v="9"/>
    <n v="4265"/>
    <n v="5.5726951227524033"/>
    <n v="5.6947303713270712"/>
    <n v="24288.025033709957"/>
    <n v="23767.544698539001"/>
    <n v="520.4803351709561"/>
    <n v="42.697228075880439"/>
    <n v="563.17756324683648"/>
    <n v="0"/>
    <n v="0"/>
    <n v="0"/>
    <n v="563.17756324683648"/>
  </r>
  <r>
    <x v="8"/>
    <d v="2023-10-04T00:00:00"/>
    <d v="2023-10-24T00:00:00"/>
    <x v="0"/>
    <n v="9"/>
    <n v="4016"/>
    <n v="5.5726951227524033"/>
    <n v="5.6947303713270712"/>
    <n v="22870.037171249518"/>
    <n v="22379.943612973653"/>
    <n v="490.09355827586478"/>
    <n v="40.204470797827874"/>
    <n v="530.29802907369265"/>
    <n v="0"/>
    <n v="0"/>
    <n v="0"/>
    <n v="530.29802907369265"/>
  </r>
  <r>
    <x v="9"/>
    <d v="2023-11-03T00:00:00"/>
    <d v="2023-11-24T00:00:00"/>
    <x v="0"/>
    <n v="9"/>
    <n v="3105"/>
    <n v="5.5726951227524033"/>
    <n v="5.6947303713270712"/>
    <n v="17682.137802970556"/>
    <n v="17303.218356146212"/>
    <n v="378.91944682434405"/>
    <n v="31.084382925113431"/>
    <n v="410.00382974945751"/>
    <n v="0"/>
    <n v="0"/>
    <n v="0"/>
    <n v="410.00382974945751"/>
  </r>
  <r>
    <x v="10"/>
    <d v="2023-12-06T00:00:00"/>
    <d v="2023-12-25T00:00:00"/>
    <x v="0"/>
    <n v="9"/>
    <n v="2513"/>
    <n v="5.5726951227524033"/>
    <n v="5.6947303713270712"/>
    <n v="14310.857423144929"/>
    <n v="14004.18284347679"/>
    <n v="306.6745796681389"/>
    <n v="25.157827468859921"/>
    <n v="331.83240713699882"/>
    <n v="0"/>
    <n v="0"/>
    <n v="0"/>
    <n v="331.83240713699882"/>
  </r>
  <r>
    <x v="11"/>
    <d v="2024-01-03T00:00:00"/>
    <d v="2024-01-24T00:00:00"/>
    <x v="0"/>
    <n v="9"/>
    <n v="2474"/>
    <n v="5.5726951227524033"/>
    <n v="5.6947303713270712"/>
    <n v="14088.762938663174"/>
    <n v="13786.847733689447"/>
    <n v="301.91520497372767"/>
    <n v="24.767395606032409"/>
    <n v="326.68260057976011"/>
    <n v="0"/>
    <n v="0"/>
    <n v="0"/>
    <n v="326.68260057976011"/>
  </r>
  <r>
    <x v="0"/>
    <d v="2023-02-03T00:00:00"/>
    <d v="2023-02-24T00:00:00"/>
    <x v="1"/>
    <n v="9"/>
    <n v="2724"/>
    <n v="5.5726951227524033"/>
    <n v="5.6947303713270712"/>
    <n v="15512.445531494941"/>
    <n v="15180.021514377546"/>
    <n v="332.42401711739512"/>
    <n v="27.270163957490816"/>
    <n v="359.69418107488593"/>
    <n v="0"/>
    <n v="0"/>
    <n v="0"/>
    <n v="359.69418107488593"/>
  </r>
  <r>
    <x v="1"/>
    <d v="2023-03-03T00:00:00"/>
    <d v="2023-03-24T00:00:00"/>
    <x v="1"/>
    <n v="9"/>
    <n v="2757"/>
    <n v="5.5726951227524033"/>
    <n v="5.6947303713270712"/>
    <n v="15700.371633748735"/>
    <n v="15363.920453428376"/>
    <n v="336.45118032035862"/>
    <n v="27.600529379883326"/>
    <n v="364.05170970024193"/>
    <n v="0"/>
    <n v="0"/>
    <n v="0"/>
    <n v="364.05170970024193"/>
  </r>
  <r>
    <x v="2"/>
    <d v="2023-04-05T00:00:00"/>
    <d v="2023-04-24T00:00:00"/>
    <x v="1"/>
    <n v="9"/>
    <n v="2641"/>
    <n v="5.5726951227524033"/>
    <n v="5.6947303713270712"/>
    <n v="15039.782910674794"/>
    <n v="14717.487819189097"/>
    <n v="322.29509148569741"/>
    <n v="26.439244864806625"/>
    <n v="348.73433635050401"/>
    <n v="0"/>
    <n v="0"/>
    <n v="0"/>
    <n v="348.73433635050401"/>
  </r>
  <r>
    <x v="3"/>
    <d v="2023-05-03T00:00:00"/>
    <d v="2023-05-24T00:00:00"/>
    <x v="1"/>
    <n v="9"/>
    <n v="2417"/>
    <n v="5.5726951227524033"/>
    <n v="5.6947303713270712"/>
    <n v="13764.163307497531"/>
    <n v="13469.204111692559"/>
    <n v="294.95919580497139"/>
    <n v="24.196764421899889"/>
    <n v="319.15596022687129"/>
    <n v="0"/>
    <n v="0"/>
    <n v="0"/>
    <n v="319.15596022687129"/>
  </r>
  <r>
    <x v="4"/>
    <d v="2023-06-05T00:00:00"/>
    <d v="2023-06-26T00:00:00"/>
    <x v="1"/>
    <n v="9"/>
    <n v="2844"/>
    <n v="5.5726951227524033"/>
    <n v="5.6947303713270712"/>
    <n v="16195.813176054191"/>
    <n v="15848.744929107836"/>
    <n v="347.06824694635543"/>
    <n v="28.471492766190849"/>
    <n v="375.53973971254629"/>
    <n v="0"/>
    <n v="0"/>
    <n v="0"/>
    <n v="375.53973971254629"/>
  </r>
  <r>
    <x v="5"/>
    <d v="2023-07-05T00:00:00"/>
    <d v="2023-07-24T00:00:00"/>
    <x v="1"/>
    <n v="9"/>
    <n v="3500"/>
    <n v="5.5726951227524033"/>
    <n v="5.6947303713270712"/>
    <n v="19931.556299644748"/>
    <n v="19504.432929633411"/>
    <n v="427.1233700113371"/>
    <n v="35.038756920417711"/>
    <n v="462.16212693175481"/>
    <n v="0"/>
    <n v="0"/>
    <n v="0"/>
    <n v="462.16212693175481"/>
  </r>
  <r>
    <x v="6"/>
    <d v="2023-08-03T00:00:00"/>
    <d v="2023-08-24T00:00:00"/>
    <x v="1"/>
    <n v="9"/>
    <n v="3569"/>
    <n v="5.5726951227524033"/>
    <n v="5.6947303713270712"/>
    <n v="20324.492695266315"/>
    <n v="19888.948893103327"/>
    <n v="435.54380216298887"/>
    <n v="35.729520985420237"/>
    <n v="471.27332314840908"/>
    <n v="0"/>
    <n v="0"/>
    <n v="0"/>
    <n v="471.27332314840908"/>
  </r>
  <r>
    <x v="7"/>
    <d v="2023-09-05T00:00:00"/>
    <d v="2023-09-25T00:00:00"/>
    <x v="1"/>
    <n v="9"/>
    <n v="3766"/>
    <n v="5.5726951227524033"/>
    <n v="5.6947303713270712"/>
    <n v="21446.354578417751"/>
    <n v="20986.76983228555"/>
    <n v="459.58474613220096"/>
    <n v="37.70170244636946"/>
    <n v="497.2864485785704"/>
    <n v="0"/>
    <n v="0"/>
    <n v="0"/>
    <n v="497.2864485785704"/>
  </r>
  <r>
    <x v="8"/>
    <d v="2023-10-04T00:00:00"/>
    <d v="2023-10-24T00:00:00"/>
    <x v="1"/>
    <n v="9"/>
    <n v="3456"/>
    <n v="5.5726951227524033"/>
    <n v="5.6947303713270712"/>
    <n v="19680.98816330636"/>
    <n v="19259.234344232307"/>
    <n v="421.75381907405244"/>
    <n v="34.59826969056104"/>
    <n v="456.35208876461348"/>
    <n v="0"/>
    <n v="0"/>
    <n v="0"/>
    <n v="456.35208876461348"/>
  </r>
  <r>
    <x v="9"/>
    <d v="2023-11-03T00:00:00"/>
    <d v="2023-11-24T00:00:00"/>
    <x v="1"/>
    <n v="9"/>
    <n v="2810"/>
    <n v="5.5726951227524033"/>
    <n v="5.6947303713270712"/>
    <n v="16002.192343429069"/>
    <n v="15659.273294934253"/>
    <n v="342.9190484948158"/>
    <n v="28.131116270392507"/>
    <n v="371.05016476520831"/>
    <n v="0"/>
    <n v="0"/>
    <n v="0"/>
    <n v="371.05016476520831"/>
  </r>
  <r>
    <x v="10"/>
    <d v="2023-12-06T00:00:00"/>
    <d v="2023-12-25T00:00:00"/>
    <x v="1"/>
    <n v="9"/>
    <n v="2499"/>
    <n v="5.5726951227524033"/>
    <n v="5.6947303713270712"/>
    <n v="14231.131197946352"/>
    <n v="13926.165111758255"/>
    <n v="304.9660861880966"/>
    <n v="25.017672441178249"/>
    <n v="329.98375862927486"/>
    <n v="0"/>
    <n v="0"/>
    <n v="0"/>
    <n v="329.98375862927486"/>
  </r>
  <r>
    <x v="11"/>
    <d v="2024-01-03T00:00:00"/>
    <d v="2024-01-24T00:00:00"/>
    <x v="1"/>
    <n v="9"/>
    <n v="2532"/>
    <n v="5.5726951227524033"/>
    <n v="5.6947303713270712"/>
    <n v="14419.057300200144"/>
    <n v="14110.064050809086"/>
    <n v="308.99324939105827"/>
    <n v="25.348037863570756"/>
    <n v="334.34128725462904"/>
    <n v="0"/>
    <n v="0"/>
    <n v="0"/>
    <n v="334.34128725462904"/>
  </r>
  <r>
    <x v="0"/>
    <d v="2023-02-03T00:00:00"/>
    <d v="2023-02-24T00:00:00"/>
    <x v="2"/>
    <n v="9"/>
    <n v="137"/>
    <n v="5.5726951227524033"/>
    <n v="5.6947303713270712"/>
    <n v="780.17806087180873"/>
    <n v="763.45923181707929"/>
    <n v="16.71882905472944"/>
    <n v="1.3715170565992076"/>
    <n v="18.090346111328646"/>
    <n v="0"/>
    <n v="0"/>
    <n v="0"/>
    <n v="18.090346111328646"/>
  </r>
  <r>
    <x v="1"/>
    <d v="2023-03-03T00:00:00"/>
    <d v="2023-03-24T00:00:00"/>
    <x v="2"/>
    <n v="9"/>
    <n v="132"/>
    <n v="5.5726951227524033"/>
    <n v="5.6947303713270712"/>
    <n v="751.70440901517338"/>
    <n v="735.59575620331725"/>
    <n v="16.108652811856132"/>
    <n v="1.3214616895700395"/>
    <n v="17.430114501426171"/>
    <n v="0"/>
    <n v="0"/>
    <n v="0"/>
    <n v="17.430114501426171"/>
  </r>
  <r>
    <x v="2"/>
    <d v="2023-04-05T00:00:00"/>
    <d v="2023-04-24T00:00:00"/>
    <x v="2"/>
    <n v="9"/>
    <n v="148"/>
    <n v="5.5726951227524033"/>
    <n v="5.6947303713270712"/>
    <n v="842.82009495640648"/>
    <n v="824.75887816735565"/>
    <n v="18.061216789050832"/>
    <n v="1.4816388640633775"/>
    <n v="19.542855653114209"/>
    <n v="0"/>
    <n v="0"/>
    <n v="0"/>
    <n v="19.542855653114209"/>
  </r>
  <r>
    <x v="3"/>
    <d v="2023-05-03T00:00:00"/>
    <d v="2023-05-24T00:00:00"/>
    <x v="2"/>
    <n v="9"/>
    <n v="92"/>
    <n v="5.5726951227524033"/>
    <n v="5.6947303713270712"/>
    <n v="523.91519416209053"/>
    <n v="512.68795129322109"/>
    <n v="11.227242868869439"/>
    <n v="0.92101875333669425"/>
    <n v="12.148261622206133"/>
    <n v="0"/>
    <n v="0"/>
    <n v="0"/>
    <n v="12.148261622206133"/>
  </r>
  <r>
    <x v="4"/>
    <d v="2023-06-05T00:00:00"/>
    <d v="2023-06-26T00:00:00"/>
    <x v="2"/>
    <n v="9"/>
    <n v="104"/>
    <n v="5.5726951227524033"/>
    <n v="5.6947303713270712"/>
    <n v="592.25195861801535"/>
    <n v="579.56029276624997"/>
    <n v="12.691665851765379"/>
    <n v="1.0411516342066978"/>
    <n v="13.732817485972076"/>
    <n v="0"/>
    <n v="0"/>
    <n v="0"/>
    <n v="13.732817485972076"/>
  </r>
  <r>
    <x v="5"/>
    <d v="2023-07-05T00:00:00"/>
    <d v="2023-07-24T00:00:00"/>
    <x v="2"/>
    <n v="9"/>
    <n v="156"/>
    <n v="5.5726951227524033"/>
    <n v="5.6947303713270712"/>
    <n v="888.37793792702314"/>
    <n v="869.3404391493749"/>
    <n v="19.037498777648239"/>
    <n v="1.5617274513100468"/>
    <n v="20.599226228958287"/>
    <n v="0"/>
    <n v="0"/>
    <n v="0"/>
    <n v="20.599226228958287"/>
  </r>
  <r>
    <x v="6"/>
    <d v="2023-08-03T00:00:00"/>
    <d v="2023-08-24T00:00:00"/>
    <x v="2"/>
    <n v="9"/>
    <n v="155"/>
    <n v="5.5726951227524033"/>
    <n v="5.6947303713270712"/>
    <n v="882.68320755569607"/>
    <n v="863.76774402662249"/>
    <n v="18.915463529073577"/>
    <n v="1.5517163779042131"/>
    <n v="20.46717990697779"/>
    <n v="0"/>
    <n v="0"/>
    <n v="0"/>
    <n v="20.46717990697779"/>
  </r>
  <r>
    <x v="7"/>
    <d v="2023-09-05T00:00:00"/>
    <d v="2023-09-25T00:00:00"/>
    <x v="2"/>
    <n v="9"/>
    <n v="159"/>
    <n v="5.5726951227524033"/>
    <n v="5.6947303713270712"/>
    <n v="905.46212904100435"/>
    <n v="886.05852451763212"/>
    <n v="19.403604523372223"/>
    <n v="1.5917606715275476"/>
    <n v="20.995365194899772"/>
    <n v="0"/>
    <n v="0"/>
    <n v="0"/>
    <n v="20.995365194899772"/>
  </r>
  <r>
    <x v="8"/>
    <d v="2023-10-04T00:00:00"/>
    <d v="2023-10-24T00:00:00"/>
    <x v="2"/>
    <n v="9"/>
    <n v="144"/>
    <n v="5.5726951227524033"/>
    <n v="5.6947303713270712"/>
    <n v="820.0411734710982"/>
    <n v="802.46809767634613"/>
    <n v="17.573075794752071"/>
    <n v="1.441594570440043"/>
    <n v="19.014670365192114"/>
    <n v="0"/>
    <n v="0"/>
    <n v="0"/>
    <n v="19.014670365192114"/>
  </r>
  <r>
    <x v="9"/>
    <d v="2023-11-03T00:00:00"/>
    <d v="2023-11-24T00:00:00"/>
    <x v="2"/>
    <n v="9"/>
    <n v="117"/>
    <n v="5.5726951227524033"/>
    <n v="5.6947303713270712"/>
    <n v="666.28345344526736"/>
    <n v="652.00532936203115"/>
    <n v="14.278124083236207"/>
    <n v="1.1712955884825351"/>
    <n v="15.449419671718742"/>
    <n v="0"/>
    <n v="0"/>
    <n v="0"/>
    <n v="15.449419671718742"/>
  </r>
  <r>
    <x v="10"/>
    <d v="2023-12-06T00:00:00"/>
    <d v="2023-12-25T00:00:00"/>
    <x v="2"/>
    <n v="9"/>
    <n v="134"/>
    <n v="5.5726951227524033"/>
    <n v="5.6947303713270712"/>
    <n v="763.09386975782752"/>
    <n v="746.74114644882206"/>
    <n v="16.352723309005455"/>
    <n v="1.3414838363817068"/>
    <n v="17.694207145387161"/>
    <n v="0"/>
    <n v="0"/>
    <n v="0"/>
    <n v="17.694207145387161"/>
  </r>
  <r>
    <x v="11"/>
    <d v="2024-01-03T00:00:00"/>
    <d v="2024-01-24T00:00:00"/>
    <x v="2"/>
    <n v="9"/>
    <n v="145"/>
    <n v="5.5726951227524033"/>
    <n v="5.6947303713270712"/>
    <n v="825.73590384242527"/>
    <n v="808.04079279909843"/>
    <n v="17.695111043326847"/>
    <n v="1.4516056438458769"/>
    <n v="19.146716687172724"/>
    <n v="0"/>
    <n v="0"/>
    <n v="0"/>
    <n v="19.146716687172724"/>
  </r>
  <r>
    <x v="0"/>
    <d v="2023-02-03T00:00:00"/>
    <d v="2023-02-24T00:00:00"/>
    <x v="3"/>
    <n v="9"/>
    <n v="828"/>
    <n v="5.5726951227524033"/>
    <n v="5.6947303713270712"/>
    <n v="4715.2367474588145"/>
    <n v="4614.1915616389897"/>
    <n v="101.04518581982484"/>
    <n v="8.2891687800302485"/>
    <n v="109.33435459985509"/>
    <n v="0"/>
    <n v="0"/>
    <n v="0"/>
    <n v="109.33435459985509"/>
  </r>
  <r>
    <x v="1"/>
    <d v="2023-03-03T00:00:00"/>
    <d v="2023-03-24T00:00:00"/>
    <x v="3"/>
    <n v="9"/>
    <n v="786"/>
    <n v="5.5726951227524033"/>
    <n v="5.6947303713270712"/>
    <n v="4476.0580718630781"/>
    <n v="4380.1383664833893"/>
    <n v="95.919705379688821"/>
    <n v="7.8687036969852349"/>
    <n v="103.78840907667406"/>
    <n v="0"/>
    <n v="0"/>
    <n v="0"/>
    <n v="103.78840907667406"/>
  </r>
  <r>
    <x v="2"/>
    <d v="2023-04-05T00:00:00"/>
    <d v="2023-04-24T00:00:00"/>
    <x v="3"/>
    <n v="9"/>
    <n v="702"/>
    <n v="5.5726951227524033"/>
    <n v="5.6947303713270712"/>
    <n v="3997.7007206716039"/>
    <n v="3912.0319761721871"/>
    <n v="85.668744499416789"/>
    <n v="7.0277735308952103"/>
    <n v="92.696518030312006"/>
    <n v="0"/>
    <n v="0"/>
    <n v="0"/>
    <n v="92.696518030312006"/>
  </r>
  <r>
    <x v="3"/>
    <d v="2023-05-03T00:00:00"/>
    <d v="2023-05-24T00:00:00"/>
    <x v="3"/>
    <n v="9"/>
    <n v="519"/>
    <n v="5.5726951227524033"/>
    <n v="5.6947303713270712"/>
    <n v="2955.5650627187501"/>
    <n v="2892.2287687084972"/>
    <n v="63.336294010252914"/>
    <n v="5.1957470976276552"/>
    <n v="68.532041107880573"/>
    <n v="0"/>
    <n v="0"/>
    <n v="0"/>
    <n v="68.532041107880573"/>
  </r>
  <r>
    <x v="4"/>
    <d v="2023-06-05T00:00:00"/>
    <d v="2023-06-26T00:00:00"/>
    <x v="3"/>
    <n v="9"/>
    <n v="720"/>
    <n v="5.5726951227524033"/>
    <n v="5.6947303713270712"/>
    <n v="4100.2058673554911"/>
    <n v="4012.3404883817302"/>
    <n v="87.865378973760926"/>
    <n v="7.207972852200216"/>
    <n v="95.07335182596114"/>
    <n v="0"/>
    <n v="0"/>
    <n v="0"/>
    <n v="95.07335182596114"/>
  </r>
  <r>
    <x v="5"/>
    <d v="2023-07-05T00:00:00"/>
    <d v="2023-07-24T00:00:00"/>
    <x v="3"/>
    <n v="9"/>
    <n v="975"/>
    <n v="5.5726951227524033"/>
    <n v="5.6947303713270712"/>
    <n v="5552.3621120438947"/>
    <n v="5433.3777446835929"/>
    <n v="118.9843673603018"/>
    <n v="9.7607965706877931"/>
    <n v="128.74516393098961"/>
    <n v="0"/>
    <n v="0"/>
    <n v="0"/>
    <n v="128.74516393098961"/>
  </r>
  <r>
    <x v="6"/>
    <d v="2023-08-03T00:00:00"/>
    <d v="2023-08-24T00:00:00"/>
    <x v="3"/>
    <n v="9"/>
    <n v="924"/>
    <n v="5.5726951227524033"/>
    <n v="5.6947303713270712"/>
    <n v="5261.930863106214"/>
    <n v="5149.1702934232208"/>
    <n v="112.76056968299326"/>
    <n v="9.2502318269902766"/>
    <n v="122.01080150998354"/>
    <n v="0"/>
    <n v="0"/>
    <n v="0"/>
    <n v="122.01080150998354"/>
  </r>
  <r>
    <x v="7"/>
    <d v="2023-09-05T00:00:00"/>
    <d v="2023-09-25T00:00:00"/>
    <x v="3"/>
    <n v="9"/>
    <n v="1053"/>
    <n v="5.5726951227524033"/>
    <n v="5.6947303713270712"/>
    <n v="5996.5510810074056"/>
    <n v="5868.0479642582804"/>
    <n v="128.50311674912518"/>
    <n v="10.541660296342815"/>
    <n v="139.04477704546801"/>
    <n v="0"/>
    <n v="0"/>
    <n v="0"/>
    <n v="139.04477704546801"/>
  </r>
  <r>
    <x v="8"/>
    <d v="2023-10-04T00:00:00"/>
    <d v="2023-10-24T00:00:00"/>
    <x v="3"/>
    <n v="9"/>
    <n v="905"/>
    <n v="5.5726951227524033"/>
    <n v="5.6947303713270712"/>
    <n v="5153.7309860509995"/>
    <n v="5043.2890860909247"/>
    <n v="110.44189996007481"/>
    <n v="9.0600214322794379"/>
    <n v="119.50192139235425"/>
    <n v="0"/>
    <n v="0"/>
    <n v="0"/>
    <n v="119.50192139235425"/>
  </r>
  <r>
    <x v="9"/>
    <d v="2023-11-03T00:00:00"/>
    <d v="2023-11-24T00:00:00"/>
    <x v="3"/>
    <n v="9"/>
    <n v="694"/>
    <n v="5.5726951227524033"/>
    <n v="5.6947303713270712"/>
    <n v="3952.1428777009874"/>
    <n v="3867.4504151901679"/>
    <n v="84.692462510819496"/>
    <n v="6.9476849436485413"/>
    <n v="91.640147454468035"/>
    <n v="0"/>
    <n v="0"/>
    <n v="0"/>
    <n v="91.640147454468035"/>
  </r>
  <r>
    <x v="10"/>
    <d v="2023-12-06T00:00:00"/>
    <d v="2023-12-25T00:00:00"/>
    <x v="3"/>
    <n v="9"/>
    <n v="736"/>
    <n v="5.5726951227524033"/>
    <n v="5.6947303713270712"/>
    <n v="4191.3215532967242"/>
    <n v="4101.5036103457687"/>
    <n v="89.817942950955512"/>
    <n v="7.368150026693554"/>
    <n v="97.186092977649068"/>
    <n v="0"/>
    <n v="0"/>
    <n v="0"/>
    <n v="97.186092977649068"/>
  </r>
  <r>
    <x v="11"/>
    <d v="2024-01-03T00:00:00"/>
    <d v="2024-01-24T00:00:00"/>
    <x v="3"/>
    <n v="9"/>
    <n v="713"/>
    <n v="5.5726951227524033"/>
    <n v="5.6947303713270712"/>
    <n v="4060.3427547562019"/>
    <n v="3973.3316225224635"/>
    <n v="87.011132233738408"/>
    <n v="7.1378953383593799"/>
    <n v="94.149027572097793"/>
    <n v="0"/>
    <n v="0"/>
    <n v="0"/>
    <n v="94.149027572097793"/>
  </r>
  <r>
    <x v="0"/>
    <d v="2023-02-03T00:00:00"/>
    <d v="2023-02-24T00:00:00"/>
    <x v="4"/>
    <n v="9"/>
    <n v="44"/>
    <n v="5.5726951227524033"/>
    <n v="5.6947303713270712"/>
    <n v="250.56813633839113"/>
    <n v="245.19858540110573"/>
    <n v="5.3695509372853962"/>
    <n v="0.44048722985667987"/>
    <n v="5.8100381671420758"/>
    <n v="0"/>
    <n v="0"/>
    <n v="0"/>
    <n v="5.8100381671420758"/>
  </r>
  <r>
    <x v="1"/>
    <d v="2023-03-03T00:00:00"/>
    <d v="2023-03-24T00:00:00"/>
    <x v="4"/>
    <n v="9"/>
    <n v="42"/>
    <n v="5.5726951227524033"/>
    <n v="5.6947303713270712"/>
    <n v="239.17867559573699"/>
    <n v="234.05319515560095"/>
    <n v="5.1254804401360445"/>
    <n v="0.42046508304501257"/>
    <n v="5.5459455231810573"/>
    <n v="0"/>
    <n v="0"/>
    <n v="0"/>
    <n v="5.5459455231810573"/>
  </r>
  <r>
    <x v="2"/>
    <d v="2023-04-05T00:00:00"/>
    <d v="2023-04-24T00:00:00"/>
    <x v="4"/>
    <n v="9"/>
    <n v="37"/>
    <n v="5.5726951227524033"/>
    <n v="5.6947303713270712"/>
    <n v="210.70502373910162"/>
    <n v="206.18971954183891"/>
    <n v="4.5153041972627079"/>
    <n v="0.37040971601584438"/>
    <n v="4.8857139132785523"/>
    <n v="0"/>
    <n v="0"/>
    <n v="0"/>
    <n v="4.8857139132785523"/>
  </r>
  <r>
    <x v="3"/>
    <d v="2023-05-03T00:00:00"/>
    <d v="2023-05-24T00:00:00"/>
    <x v="4"/>
    <n v="9"/>
    <n v="27"/>
    <n v="5.5726951227524033"/>
    <n v="5.6947303713270712"/>
    <n v="153.75772002583093"/>
    <n v="150.4627683143149"/>
    <n v="3.2949517115160347"/>
    <n v="0.27029898195750812"/>
    <n v="3.5652506934735428"/>
    <n v="0"/>
    <n v="0"/>
    <n v="0"/>
    <n v="3.5652506934735428"/>
  </r>
  <r>
    <x v="4"/>
    <d v="2023-06-05T00:00:00"/>
    <d v="2023-06-26T00:00:00"/>
    <x v="4"/>
    <n v="9"/>
    <n v="42"/>
    <n v="5.5726951227524033"/>
    <n v="5.6947303713270712"/>
    <n v="239.17867559573699"/>
    <n v="234.05319515560095"/>
    <n v="5.1254804401360445"/>
    <n v="0.42046508304501257"/>
    <n v="5.5459455231810573"/>
    <n v="0"/>
    <n v="0"/>
    <n v="0"/>
    <n v="5.5459455231810573"/>
  </r>
  <r>
    <x v="5"/>
    <d v="2023-07-05T00:00:00"/>
    <d v="2023-07-24T00:00:00"/>
    <x v="4"/>
    <n v="9"/>
    <n v="56"/>
    <n v="5.5726951227524033"/>
    <n v="5.6947303713270712"/>
    <n v="318.90490079431601"/>
    <n v="312.07092687413456"/>
    <n v="6.8339739201814496"/>
    <n v="0.5606201107266835"/>
    <n v="7.3945940309081326"/>
    <n v="0"/>
    <n v="0"/>
    <n v="0"/>
    <n v="7.3945940309081326"/>
  </r>
  <r>
    <x v="6"/>
    <d v="2023-08-03T00:00:00"/>
    <d v="2023-08-24T00:00:00"/>
    <x v="4"/>
    <n v="9"/>
    <n v="54"/>
    <n v="5.5726951227524033"/>
    <n v="5.6947303713270712"/>
    <n v="307.51544005166187"/>
    <n v="300.9255366286298"/>
    <n v="6.5899034230320694"/>
    <n v="0.54059796391501624"/>
    <n v="7.1305013869470857"/>
    <n v="0"/>
    <n v="0"/>
    <n v="0"/>
    <n v="7.1305013869470857"/>
  </r>
  <r>
    <x v="7"/>
    <d v="2023-09-05T00:00:00"/>
    <d v="2023-09-25T00:00:00"/>
    <x v="4"/>
    <n v="9"/>
    <n v="59"/>
    <n v="5.5726951227524033"/>
    <n v="5.6947303713270712"/>
    <n v="335.98909190829721"/>
    <n v="328.78901224239178"/>
    <n v="7.2000796659054345"/>
    <n v="0.59065333094418437"/>
    <n v="7.7907329968496191"/>
    <n v="0"/>
    <n v="0"/>
    <n v="0"/>
    <n v="7.7907329968496191"/>
  </r>
  <r>
    <x v="8"/>
    <d v="2023-10-04T00:00:00"/>
    <d v="2023-10-24T00:00:00"/>
    <x v="4"/>
    <n v="9"/>
    <n v="54"/>
    <n v="5.5726951227524033"/>
    <n v="5.6947303713270712"/>
    <n v="307.51544005166187"/>
    <n v="300.9255366286298"/>
    <n v="6.5899034230320694"/>
    <n v="0.54059796391501624"/>
    <n v="7.1305013869470857"/>
    <n v="0"/>
    <n v="0"/>
    <n v="0"/>
    <n v="7.1305013869470857"/>
  </r>
  <r>
    <x v="9"/>
    <d v="2023-11-03T00:00:00"/>
    <d v="2023-11-24T00:00:00"/>
    <x v="4"/>
    <n v="9"/>
    <n v="37"/>
    <n v="5.5726951227524033"/>
    <n v="5.6947303713270712"/>
    <n v="210.70502373910162"/>
    <n v="206.18971954183891"/>
    <n v="4.5153041972627079"/>
    <n v="0.37040971601584438"/>
    <n v="4.8857139132785523"/>
    <n v="0"/>
    <n v="0"/>
    <n v="0"/>
    <n v="4.8857139132785523"/>
  </r>
  <r>
    <x v="10"/>
    <d v="2023-12-06T00:00:00"/>
    <d v="2023-12-25T00:00:00"/>
    <x v="4"/>
    <n v="9"/>
    <n v="38"/>
    <n v="5.5726951227524033"/>
    <n v="5.6947303713270712"/>
    <n v="216.39975411042872"/>
    <n v="211.76241466459132"/>
    <n v="4.637339445837398"/>
    <n v="0.38042078942167806"/>
    <n v="5.0177602352590762"/>
    <n v="0"/>
    <n v="0"/>
    <n v="0"/>
    <n v="5.0177602352590762"/>
  </r>
  <r>
    <x v="11"/>
    <d v="2024-01-03T00:00:00"/>
    <d v="2024-01-24T00:00:00"/>
    <x v="4"/>
    <n v="9"/>
    <n v="35"/>
    <n v="5.5726951227524033"/>
    <n v="5.6947303713270712"/>
    <n v="199.31556299644748"/>
    <n v="195.04432929633413"/>
    <n v="4.2712337001133562"/>
    <n v="0.35038756920417713"/>
    <n v="4.6216212693175329"/>
    <n v="0"/>
    <n v="0"/>
    <n v="0"/>
    <n v="4.6216212693175329"/>
  </r>
  <r>
    <x v="0"/>
    <d v="2023-02-03T00:00:00"/>
    <d v="2023-02-24T00:00:00"/>
    <x v="5"/>
    <n v="9"/>
    <n v="53"/>
    <n v="5.5726951227524033"/>
    <n v="5.6947303713270712"/>
    <n v="301.82070968033474"/>
    <n v="295.35284150587739"/>
    <n v="6.467868174457351"/>
    <n v="0.53058689050918262"/>
    <n v="6.9984550649665334"/>
    <n v="0"/>
    <n v="0"/>
    <n v="0"/>
    <n v="6.9984550649665334"/>
  </r>
  <r>
    <x v="1"/>
    <d v="2023-03-03T00:00:00"/>
    <d v="2023-03-24T00:00:00"/>
    <x v="5"/>
    <n v="9"/>
    <n v="55"/>
    <n v="5.5726951227524033"/>
    <n v="5.6947303713270712"/>
    <n v="313.21017042298894"/>
    <n v="306.49823175138221"/>
    <n v="6.7119386716067311"/>
    <n v="0.55060903732084987"/>
    <n v="7.2625477089275812"/>
    <n v="0"/>
    <n v="0"/>
    <n v="0"/>
    <n v="7.2625477089275812"/>
  </r>
  <r>
    <x v="2"/>
    <d v="2023-04-05T00:00:00"/>
    <d v="2023-04-24T00:00:00"/>
    <x v="5"/>
    <n v="9"/>
    <n v="46"/>
    <n v="5.5726951227524033"/>
    <n v="5.6947303713270712"/>
    <n v="261.95759708104526"/>
    <n v="256.34397564661055"/>
    <n v="5.6136214344347195"/>
    <n v="0.46050937666834713"/>
    <n v="6.0741308111030667"/>
    <n v="0"/>
    <n v="0"/>
    <n v="0"/>
    <n v="6.0741308111030667"/>
  </r>
  <r>
    <x v="3"/>
    <d v="2023-05-03T00:00:00"/>
    <d v="2023-05-24T00:00:00"/>
    <x v="5"/>
    <n v="9"/>
    <n v="33"/>
    <n v="5.5726951227524033"/>
    <n v="5.6947303713270712"/>
    <n v="187.92610225379335"/>
    <n v="183.89893905082931"/>
    <n v="4.027163202964033"/>
    <n v="0.33036542239250988"/>
    <n v="4.3575286253565428"/>
    <n v="0"/>
    <n v="0"/>
    <n v="0"/>
    <n v="4.3575286253565428"/>
  </r>
  <r>
    <x v="4"/>
    <d v="2023-06-05T00:00:00"/>
    <d v="2023-06-26T00:00:00"/>
    <x v="5"/>
    <n v="9"/>
    <n v="44"/>
    <n v="5.5726951227524033"/>
    <n v="5.6947303713270712"/>
    <n v="250.56813633839113"/>
    <n v="245.19858540110573"/>
    <n v="5.3695509372853962"/>
    <n v="0.44048722985667987"/>
    <n v="5.8100381671420758"/>
    <n v="0"/>
    <n v="0"/>
    <n v="0"/>
    <n v="5.8100381671420758"/>
  </r>
  <r>
    <x v="5"/>
    <d v="2023-07-05T00:00:00"/>
    <d v="2023-07-24T00:00:00"/>
    <x v="5"/>
    <n v="9"/>
    <n v="55"/>
    <n v="5.5726951227524033"/>
    <n v="5.6947303713270712"/>
    <n v="313.21017042298894"/>
    <n v="306.49823175138221"/>
    <n v="6.7119386716067311"/>
    <n v="0.55060903732084987"/>
    <n v="7.2625477089275812"/>
    <n v="0"/>
    <n v="0"/>
    <n v="0"/>
    <n v="7.2625477089275812"/>
  </r>
  <r>
    <x v="6"/>
    <d v="2023-08-03T00:00:00"/>
    <d v="2023-08-24T00:00:00"/>
    <x v="5"/>
    <n v="9"/>
    <n v="57"/>
    <n v="5.5726951227524033"/>
    <n v="5.6947303713270712"/>
    <n v="324.59963116564307"/>
    <n v="317.64362199688696"/>
    <n v="6.9560091687561112"/>
    <n v="0.57063118413251712"/>
    <n v="7.5266403528886281"/>
    <n v="0"/>
    <n v="0"/>
    <n v="0"/>
    <n v="7.5266403528886281"/>
  </r>
  <r>
    <x v="7"/>
    <d v="2023-09-05T00:00:00"/>
    <d v="2023-09-25T00:00:00"/>
    <x v="5"/>
    <n v="9"/>
    <n v="56"/>
    <n v="5.5726951227524033"/>
    <n v="5.6947303713270712"/>
    <n v="318.90490079431601"/>
    <n v="312.07092687413456"/>
    <n v="6.8339739201814496"/>
    <n v="0.5606201107266835"/>
    <n v="7.3945940309081326"/>
    <n v="0"/>
    <n v="0"/>
    <n v="0"/>
    <n v="7.3945940309081326"/>
  </r>
  <r>
    <x v="8"/>
    <d v="2023-10-04T00:00:00"/>
    <d v="2023-10-24T00:00:00"/>
    <x v="5"/>
    <n v="9"/>
    <n v="60"/>
    <n v="5.5726951227524033"/>
    <n v="5.6947303713270712"/>
    <n v="341.68382227962428"/>
    <n v="334.36170736514418"/>
    <n v="7.3221149144800961"/>
    <n v="0.600664404350018"/>
    <n v="7.9227793188301145"/>
    <n v="0"/>
    <n v="0"/>
    <n v="0"/>
    <n v="7.9227793188301145"/>
  </r>
  <r>
    <x v="9"/>
    <d v="2023-11-03T00:00:00"/>
    <d v="2023-11-24T00:00:00"/>
    <x v="5"/>
    <n v="9"/>
    <n v="48"/>
    <n v="5.5726951227524033"/>
    <n v="5.6947303713270712"/>
    <n v="273.3470578236994"/>
    <n v="267.48936589211536"/>
    <n v="5.8576919315840428"/>
    <n v="0.48053152348001438"/>
    <n v="6.3382234550640568"/>
    <n v="0"/>
    <n v="0"/>
    <n v="0"/>
    <n v="6.3382234550640568"/>
  </r>
  <r>
    <x v="10"/>
    <d v="2023-12-06T00:00:00"/>
    <d v="2023-12-25T00:00:00"/>
    <x v="5"/>
    <n v="9"/>
    <n v="54"/>
    <n v="5.5726951227524033"/>
    <n v="5.6947303713270712"/>
    <n v="307.51544005166187"/>
    <n v="300.9255366286298"/>
    <n v="6.5899034230320694"/>
    <n v="0.54059796391501624"/>
    <n v="7.1305013869470857"/>
    <n v="0"/>
    <n v="0"/>
    <n v="0"/>
    <n v="7.1305013869470857"/>
  </r>
  <r>
    <x v="11"/>
    <d v="2024-01-03T00:00:00"/>
    <d v="2024-01-24T00:00:00"/>
    <x v="5"/>
    <n v="9"/>
    <n v="55"/>
    <n v="5.5726951227524033"/>
    <n v="5.6947303713270712"/>
    <n v="313.21017042298894"/>
    <n v="306.49823175138221"/>
    <n v="6.7119386716067311"/>
    <n v="0.55060903732084987"/>
    <n v="7.2625477089275812"/>
    <n v="0"/>
    <n v="0"/>
    <n v="0"/>
    <n v="7.2625477089275812"/>
  </r>
  <r>
    <x v="0"/>
    <d v="2023-02-03T00:00:00"/>
    <d v="2023-02-24T00:00:00"/>
    <x v="6"/>
    <n v="9"/>
    <n v="84"/>
    <n v="5.5726951227524033"/>
    <n v="5.6947303713270712"/>
    <n v="478.35735119147398"/>
    <n v="468.10639031120189"/>
    <n v="10.250960880272089"/>
    <n v="0.84093016609002513"/>
    <n v="11.091891046362115"/>
    <n v="0"/>
    <n v="0"/>
    <n v="0"/>
    <n v="11.091891046362115"/>
  </r>
  <r>
    <x v="1"/>
    <d v="2023-03-03T00:00:00"/>
    <d v="2023-03-24T00:00:00"/>
    <x v="6"/>
    <n v="9"/>
    <n v="83"/>
    <n v="5.5726951227524033"/>
    <n v="5.6947303713270712"/>
    <n v="472.66262082014691"/>
    <n v="462.53369518844949"/>
    <n v="10.128925631697427"/>
    <n v="0.83091909268419151"/>
    <n v="10.959844724381618"/>
    <n v="0"/>
    <n v="0"/>
    <n v="0"/>
    <n v="10.959844724381618"/>
  </r>
  <r>
    <x v="2"/>
    <d v="2023-04-05T00:00:00"/>
    <d v="2023-04-24T00:00:00"/>
    <x v="6"/>
    <n v="9"/>
    <n v="76"/>
    <n v="5.5726951227524033"/>
    <n v="5.6947303713270712"/>
    <n v="432.79950822085743"/>
    <n v="423.52482932918264"/>
    <n v="9.274678891674796"/>
    <n v="0.76084157884335613"/>
    <n v="10.035520470518152"/>
    <n v="0"/>
    <n v="0"/>
    <n v="0"/>
    <n v="10.035520470518152"/>
  </r>
  <r>
    <x v="3"/>
    <d v="2023-05-03T00:00:00"/>
    <d v="2023-05-24T00:00:00"/>
    <x v="6"/>
    <n v="9"/>
    <n v="69"/>
    <n v="5.5726951227524033"/>
    <n v="5.6947303713270712"/>
    <n v="392.9363956215679"/>
    <n v="384.51596346991585"/>
    <n v="8.4204321516520508"/>
    <n v="0.69076406500252063"/>
    <n v="9.1111962166545712"/>
    <n v="0"/>
    <n v="0"/>
    <n v="0"/>
    <n v="9.1111962166545712"/>
  </r>
  <r>
    <x v="4"/>
    <d v="2023-06-05T00:00:00"/>
    <d v="2023-06-26T00:00:00"/>
    <x v="6"/>
    <n v="9"/>
    <n v="99"/>
    <n v="5.5726951227524033"/>
    <n v="5.6947303713270712"/>
    <n v="563.77830676138001"/>
    <n v="551.69681715248794"/>
    <n v="12.08148960889207"/>
    <n v="0.99109626717752974"/>
    <n v="13.072585876069601"/>
    <n v="0"/>
    <n v="0"/>
    <n v="0"/>
    <n v="13.072585876069601"/>
  </r>
  <r>
    <x v="5"/>
    <d v="2023-07-05T00:00:00"/>
    <d v="2023-07-24T00:00:00"/>
    <x v="6"/>
    <n v="9"/>
    <n v="149"/>
    <n v="5.5726951227524033"/>
    <n v="5.6947303713270712"/>
    <n v="848.51482532773355"/>
    <n v="830.33157329010805"/>
    <n v="18.183252037625493"/>
    <n v="1.4916499374692114"/>
    <n v="19.674901975094706"/>
    <n v="0"/>
    <n v="0"/>
    <n v="0"/>
    <n v="19.674901975094706"/>
  </r>
  <r>
    <x v="6"/>
    <d v="2023-08-03T00:00:00"/>
    <d v="2023-08-24T00:00:00"/>
    <x v="6"/>
    <n v="9"/>
    <n v="148"/>
    <n v="5.5726951227524033"/>
    <n v="5.6947303713270712"/>
    <n v="842.82009495640648"/>
    <n v="824.75887816735565"/>
    <n v="18.061216789050832"/>
    <n v="1.4816388640633775"/>
    <n v="19.542855653114209"/>
    <n v="0"/>
    <n v="0"/>
    <n v="0"/>
    <n v="19.542855653114209"/>
  </r>
  <r>
    <x v="7"/>
    <d v="2023-09-05T00:00:00"/>
    <d v="2023-09-25T00:00:00"/>
    <x v="6"/>
    <n v="9"/>
    <n v="160"/>
    <n v="5.5726951227524033"/>
    <n v="5.6947303713270712"/>
    <n v="911.15685941233141"/>
    <n v="891.63121964038453"/>
    <n v="19.525639771946885"/>
    <n v="1.6017717449333813"/>
    <n v="21.127411516880265"/>
    <n v="0"/>
    <n v="0"/>
    <n v="0"/>
    <n v="21.127411516880265"/>
  </r>
  <r>
    <x v="8"/>
    <d v="2023-10-04T00:00:00"/>
    <d v="2023-10-24T00:00:00"/>
    <x v="6"/>
    <n v="9"/>
    <n v="155"/>
    <n v="5.5726951227524033"/>
    <n v="5.6947303713270712"/>
    <n v="882.68320755569607"/>
    <n v="863.76774402662249"/>
    <n v="18.915463529073577"/>
    <n v="1.5517163779042131"/>
    <n v="20.46717990697779"/>
    <n v="0"/>
    <n v="0"/>
    <n v="0"/>
    <n v="20.46717990697779"/>
  </r>
  <r>
    <x v="9"/>
    <d v="2023-11-03T00:00:00"/>
    <d v="2023-11-24T00:00:00"/>
    <x v="6"/>
    <n v="9"/>
    <n v="110"/>
    <n v="5.5726951227524033"/>
    <n v="5.6947303713270712"/>
    <n v="626.42034084597788"/>
    <n v="612.99646350276441"/>
    <n v="13.423877343213462"/>
    <n v="1.1012180746416997"/>
    <n v="14.525095417855162"/>
    <n v="0"/>
    <n v="0"/>
    <n v="0"/>
    <n v="14.525095417855162"/>
  </r>
  <r>
    <x v="10"/>
    <d v="2023-12-06T00:00:00"/>
    <d v="2023-12-25T00:00:00"/>
    <x v="6"/>
    <n v="9"/>
    <n v="70"/>
    <n v="5.5726951227524033"/>
    <n v="5.6947303713270712"/>
    <n v="398.63112599289497"/>
    <n v="390.08865859266825"/>
    <n v="8.5424674002267125"/>
    <n v="0.70077513840835426"/>
    <n v="9.2432425386350658"/>
    <n v="0"/>
    <n v="0"/>
    <n v="0"/>
    <n v="9.2432425386350658"/>
  </r>
  <r>
    <x v="11"/>
    <d v="2024-01-03T00:00:00"/>
    <d v="2024-01-24T00:00:00"/>
    <x v="6"/>
    <n v="9"/>
    <n v="66"/>
    <n v="5.5726951227524033"/>
    <n v="5.6947303713270712"/>
    <n v="375.85220450758669"/>
    <n v="367.79787810165863"/>
    <n v="8.0543264059280659"/>
    <n v="0.66073084478501976"/>
    <n v="8.7150572507130857"/>
    <n v="0"/>
    <n v="0"/>
    <n v="0"/>
    <n v="8.7150572507130857"/>
  </r>
  <r>
    <x v="0"/>
    <d v="2023-02-03T00:00:00"/>
    <d v="2023-02-24T00:00:00"/>
    <x v="7"/>
    <n v="9"/>
    <n v="63"/>
    <n v="5.5726951227524033"/>
    <n v="5.6947303713270712"/>
    <n v="358.76801339360549"/>
    <n v="351.0797927334014"/>
    <n v="7.688220660204081"/>
    <n v="0.63069762456751877"/>
    <n v="8.3189182847716001"/>
    <n v="0"/>
    <n v="0"/>
    <n v="0"/>
    <n v="8.3189182847716001"/>
  </r>
  <r>
    <x v="1"/>
    <d v="2023-03-03T00:00:00"/>
    <d v="2023-03-24T00:00:00"/>
    <x v="7"/>
    <n v="9"/>
    <n v="63"/>
    <n v="5.5726951227524033"/>
    <n v="5.6947303713270712"/>
    <n v="358.76801339360549"/>
    <n v="351.0797927334014"/>
    <n v="7.688220660204081"/>
    <n v="0.63069762456751877"/>
    <n v="8.3189182847716001"/>
    <n v="0"/>
    <n v="0"/>
    <n v="0"/>
    <n v="8.3189182847716001"/>
  </r>
  <r>
    <x v="2"/>
    <d v="2023-04-05T00:00:00"/>
    <d v="2023-04-24T00:00:00"/>
    <x v="7"/>
    <n v="9"/>
    <n v="67"/>
    <n v="5.5726951227524033"/>
    <n v="5.6947303713270712"/>
    <n v="381.54693487891376"/>
    <n v="373.37057322441103"/>
    <n v="8.1763616545027276"/>
    <n v="0.67074191819085338"/>
    <n v="8.8471035726935803"/>
    <n v="0"/>
    <n v="0"/>
    <n v="0"/>
    <n v="8.8471035726935803"/>
  </r>
  <r>
    <x v="3"/>
    <d v="2023-05-03T00:00:00"/>
    <d v="2023-05-24T00:00:00"/>
    <x v="7"/>
    <n v="9"/>
    <n v="62"/>
    <n v="5.5726951227524033"/>
    <n v="5.6947303713270712"/>
    <n v="353.07328302227842"/>
    <n v="345.507097610649"/>
    <n v="7.5661854116294194"/>
    <n v="0.62068655116168514"/>
    <n v="8.1868719627911037"/>
    <n v="0"/>
    <n v="0"/>
    <n v="0"/>
    <n v="8.1868719627911037"/>
  </r>
  <r>
    <x v="4"/>
    <d v="2023-06-05T00:00:00"/>
    <d v="2023-06-26T00:00:00"/>
    <x v="7"/>
    <n v="9"/>
    <n v="51"/>
    <n v="5.5726951227524033"/>
    <n v="5.6947303713270712"/>
    <n v="290.43124893768061"/>
    <n v="284.20745126037258"/>
    <n v="6.2237976773080277"/>
    <n v="0.51056474369751526"/>
    <n v="6.7343624210055433"/>
    <n v="0"/>
    <n v="0"/>
    <n v="0"/>
    <n v="6.7343624210055433"/>
  </r>
  <r>
    <x v="5"/>
    <d v="2023-07-05T00:00:00"/>
    <d v="2023-07-24T00:00:00"/>
    <x v="7"/>
    <n v="9"/>
    <n v="67"/>
    <n v="5.5726951227524033"/>
    <n v="5.6947303713270712"/>
    <n v="381.54693487891376"/>
    <n v="373.37057322441103"/>
    <n v="8.1763616545027276"/>
    <n v="0.67074191819085338"/>
    <n v="8.8471035726935803"/>
    <n v="0"/>
    <n v="0"/>
    <n v="0"/>
    <n v="8.8471035726935803"/>
  </r>
  <r>
    <x v="6"/>
    <d v="2023-08-03T00:00:00"/>
    <d v="2023-08-24T00:00:00"/>
    <x v="7"/>
    <n v="9"/>
    <n v="66"/>
    <n v="5.5726951227524033"/>
    <n v="5.6947303713270712"/>
    <n v="375.85220450758669"/>
    <n v="367.79787810165863"/>
    <n v="8.0543264059280659"/>
    <n v="0.66073084478501976"/>
    <n v="8.7150572507130857"/>
    <n v="0"/>
    <n v="0"/>
    <n v="0"/>
    <n v="8.7150572507130857"/>
  </r>
  <r>
    <x v="7"/>
    <d v="2023-09-05T00:00:00"/>
    <d v="2023-09-25T00:00:00"/>
    <x v="7"/>
    <n v="9"/>
    <n v="61"/>
    <n v="5.5726951227524033"/>
    <n v="5.6947303713270712"/>
    <n v="347.37855265095135"/>
    <n v="339.93440248789659"/>
    <n v="7.4441501630547577"/>
    <n v="0.61067547775585151"/>
    <n v="8.0548256408106091"/>
    <n v="0"/>
    <n v="0"/>
    <n v="0"/>
    <n v="8.0548256408106091"/>
  </r>
  <r>
    <x v="8"/>
    <d v="2023-10-04T00:00:00"/>
    <d v="2023-10-24T00:00:00"/>
    <x v="7"/>
    <n v="9"/>
    <n v="55"/>
    <n v="5.5726951227524033"/>
    <n v="5.6947303713270712"/>
    <n v="313.21017042298894"/>
    <n v="306.49823175138221"/>
    <n v="6.7119386716067311"/>
    <n v="0.55060903732084987"/>
    <n v="7.2625477089275812"/>
    <n v="0"/>
    <n v="0"/>
    <n v="0"/>
    <n v="7.2625477089275812"/>
  </r>
  <r>
    <x v="9"/>
    <d v="2023-11-03T00:00:00"/>
    <d v="2023-11-24T00:00:00"/>
    <x v="7"/>
    <n v="9"/>
    <n v="59"/>
    <n v="5.5726951227524033"/>
    <n v="5.6947303713270712"/>
    <n v="335.98909190829721"/>
    <n v="328.78901224239178"/>
    <n v="7.2000796659054345"/>
    <n v="0.59065333094418437"/>
    <n v="7.7907329968496191"/>
    <n v="0"/>
    <n v="0"/>
    <n v="0"/>
    <n v="7.7907329968496191"/>
  </r>
  <r>
    <x v="10"/>
    <d v="2023-12-06T00:00:00"/>
    <d v="2023-12-25T00:00:00"/>
    <x v="7"/>
    <n v="9"/>
    <n v="63"/>
    <n v="5.5726951227524033"/>
    <n v="5.6947303713270712"/>
    <n v="358.76801339360549"/>
    <n v="351.0797927334014"/>
    <n v="7.688220660204081"/>
    <n v="0.63069762456751877"/>
    <n v="8.3189182847716001"/>
    <n v="0"/>
    <n v="0"/>
    <n v="0"/>
    <n v="8.3189182847716001"/>
  </r>
  <r>
    <x v="11"/>
    <d v="2024-01-03T00:00:00"/>
    <d v="2024-01-24T00:00:00"/>
    <x v="7"/>
    <n v="9"/>
    <n v="63"/>
    <n v="5.5726951227524033"/>
    <n v="5.6947303713270712"/>
    <n v="358.76801339360549"/>
    <n v="351.0797927334014"/>
    <n v="7.688220660204081"/>
    <n v="0.63069762456751877"/>
    <n v="8.3189182847716001"/>
    <n v="0"/>
    <n v="0"/>
    <n v="0"/>
    <n v="8.3189182847716001"/>
  </r>
  <r>
    <x v="0"/>
    <d v="2023-02-03T00:00:00"/>
    <d v="2023-02-24T00:00:00"/>
    <x v="8"/>
    <n v="9"/>
    <n v="967"/>
    <n v="5.5726951227524033"/>
    <n v="5.6947303713270712"/>
    <n v="5506.8042690732782"/>
    <n v="5388.7961837015737"/>
    <n v="118.00808537170451"/>
    <n v="9.6807079834411223"/>
    <n v="127.68879335514563"/>
    <n v="0"/>
    <n v="0"/>
    <n v="0"/>
    <n v="127.68879335514563"/>
  </r>
  <r>
    <x v="1"/>
    <d v="2023-03-03T00:00:00"/>
    <d v="2023-03-24T00:00:00"/>
    <x v="8"/>
    <n v="9"/>
    <n v="955"/>
    <n v="5.5726951227524033"/>
    <n v="5.6947303713270712"/>
    <n v="5438.4675046173534"/>
    <n v="5321.9238422285453"/>
    <n v="116.54366238880812"/>
    <n v="9.5605751025711196"/>
    <n v="126.10423749137924"/>
    <n v="0"/>
    <n v="0"/>
    <n v="0"/>
    <n v="126.10423749137924"/>
  </r>
  <r>
    <x v="2"/>
    <d v="2023-04-05T00:00:00"/>
    <d v="2023-04-24T00:00:00"/>
    <x v="8"/>
    <n v="9"/>
    <n v="872"/>
    <n v="5.5726951227524033"/>
    <n v="5.6947303713270712"/>
    <n v="4965.8048837972065"/>
    <n v="4859.3901470400961"/>
    <n v="106.4147367571104"/>
    <n v="8.7296560098869271"/>
    <n v="115.14439276699733"/>
    <n v="0"/>
    <n v="0"/>
    <n v="0"/>
    <n v="115.14439276699733"/>
  </r>
  <r>
    <x v="3"/>
    <d v="2023-05-03T00:00:00"/>
    <d v="2023-05-24T00:00:00"/>
    <x v="8"/>
    <n v="9"/>
    <n v="602"/>
    <n v="5.5726951227524033"/>
    <n v="5.6947303713270712"/>
    <n v="3428.2276835388971"/>
    <n v="3354.7624638969469"/>
    <n v="73.465219641950171"/>
    <n v="6.0266661903118468"/>
    <n v="79.491885832262014"/>
    <n v="0"/>
    <n v="0"/>
    <n v="0"/>
    <n v="79.491885832262014"/>
  </r>
  <r>
    <x v="4"/>
    <d v="2023-06-05T00:00:00"/>
    <d v="2023-06-26T00:00:00"/>
    <x v="8"/>
    <n v="9"/>
    <n v="711"/>
    <n v="5.5726951227524033"/>
    <n v="5.6947303713270712"/>
    <n v="4048.9532940135477"/>
    <n v="3962.1862322769589"/>
    <n v="86.767061736588857"/>
    <n v="7.1178731915477123"/>
    <n v="93.884934928136573"/>
    <n v="0"/>
    <n v="0"/>
    <n v="0"/>
    <n v="93.884934928136573"/>
  </r>
  <r>
    <x v="5"/>
    <d v="2023-07-05T00:00:00"/>
    <d v="2023-07-24T00:00:00"/>
    <x v="8"/>
    <n v="9"/>
    <n v="936"/>
    <n v="5.5726951227524033"/>
    <n v="5.6947303713270712"/>
    <n v="5330.2676275621388"/>
    <n v="5216.0426348962492"/>
    <n v="114.22499266588966"/>
    <n v="9.370364707860281"/>
    <n v="123.59535737374993"/>
    <n v="0"/>
    <n v="0"/>
    <n v="0"/>
    <n v="123.59535737374993"/>
  </r>
  <r>
    <x v="6"/>
    <d v="2023-08-03T00:00:00"/>
    <d v="2023-08-24T00:00:00"/>
    <x v="8"/>
    <n v="9"/>
    <n v="932"/>
    <n v="5.5726951227524033"/>
    <n v="5.6947303713270712"/>
    <n v="5307.4887060768306"/>
    <n v="5193.75185440524"/>
    <n v="113.73685167159056"/>
    <n v="9.3303204142369456"/>
    <n v="123.06717208582751"/>
    <n v="0"/>
    <n v="0"/>
    <n v="0"/>
    <n v="123.06717208582751"/>
  </r>
  <r>
    <x v="7"/>
    <d v="2023-09-05T00:00:00"/>
    <d v="2023-09-25T00:00:00"/>
    <x v="8"/>
    <n v="9"/>
    <n v="1025"/>
    <n v="5.5726951227524033"/>
    <n v="5.6947303713270712"/>
    <n v="5837.0986306102477"/>
    <n v="5712.0125008212135"/>
    <n v="125.0861297890342"/>
    <n v="10.261350240979473"/>
    <n v="135.34748003001368"/>
    <n v="0"/>
    <n v="0"/>
    <n v="0"/>
    <n v="135.34748003001368"/>
  </r>
  <r>
    <x v="8"/>
    <d v="2023-10-04T00:00:00"/>
    <d v="2023-10-24T00:00:00"/>
    <x v="8"/>
    <n v="9"/>
    <n v="934"/>
    <n v="5.5726951227524033"/>
    <n v="5.6947303713270712"/>
    <n v="5318.8781668194842"/>
    <n v="5204.8972446507451"/>
    <n v="113.9809221687392"/>
    <n v="9.3503425610486133"/>
    <n v="123.33126472978782"/>
    <n v="0"/>
    <n v="0"/>
    <n v="0"/>
    <n v="123.33126472978782"/>
  </r>
  <r>
    <x v="9"/>
    <d v="2023-11-03T00:00:00"/>
    <d v="2023-11-24T00:00:00"/>
    <x v="8"/>
    <n v="9"/>
    <n v="700"/>
    <n v="5.5726951227524033"/>
    <n v="5.6947303713270712"/>
    <n v="3986.3112599289498"/>
    <n v="3900.8865859266825"/>
    <n v="85.424674002267238"/>
    <n v="7.0077513840835426"/>
    <n v="92.432425386350786"/>
    <n v="0"/>
    <n v="0"/>
    <n v="0"/>
    <n v="92.432425386350786"/>
  </r>
  <r>
    <x v="10"/>
    <d v="2023-12-06T00:00:00"/>
    <d v="2023-12-25T00:00:00"/>
    <x v="8"/>
    <n v="9"/>
    <n v="867"/>
    <n v="5.5726951227524033"/>
    <n v="5.6947303713270712"/>
    <n v="4937.3312319405704"/>
    <n v="4831.5266714263335"/>
    <n v="105.80456051423698"/>
    <n v="8.6796006428577606"/>
    <n v="114.48416115709475"/>
    <n v="0"/>
    <n v="0"/>
    <n v="0"/>
    <n v="114.48416115709475"/>
  </r>
  <r>
    <x v="11"/>
    <d v="2024-01-03T00:00:00"/>
    <d v="2024-01-24T00:00:00"/>
    <x v="8"/>
    <n v="9"/>
    <n v="916"/>
    <n v="5.5726951227524033"/>
    <n v="5.6947303713270712"/>
    <n v="5216.3730201355975"/>
    <n v="5104.5887324412015"/>
    <n v="111.78428769439597"/>
    <n v="9.1701432397436076"/>
    <n v="120.95443093413958"/>
    <n v="0"/>
    <n v="0"/>
    <n v="0"/>
    <n v="120.95443093413958"/>
  </r>
  <r>
    <x v="0"/>
    <d v="2023-02-03T00:00:00"/>
    <d v="2023-02-24T00:00:00"/>
    <x v="9"/>
    <n v="9"/>
    <n v="6"/>
    <n v="5.5726951227524033"/>
    <n v="5.6947303713270712"/>
    <n v="34.168382227962425"/>
    <n v="33.43617073651442"/>
    <n v="0.73221149144800535"/>
    <n v="6.0066440435001797E-2"/>
    <n v="0.7922779318830071"/>
    <n v="0"/>
    <n v="0"/>
    <n v="0"/>
    <n v="0.7922779318830071"/>
  </r>
  <r>
    <x v="1"/>
    <d v="2023-03-03T00:00:00"/>
    <d v="2023-03-24T00:00:00"/>
    <x v="9"/>
    <n v="9"/>
    <n v="5"/>
    <n v="5.5726951227524033"/>
    <n v="5.6947303713270712"/>
    <n v="28.473651856635357"/>
    <n v="27.863475613762017"/>
    <n v="0.61017624287334016"/>
    <n v="5.0055367029168164E-2"/>
    <n v="0.66023160990250829"/>
    <n v="0"/>
    <n v="0"/>
    <n v="0"/>
    <n v="0.66023160990250829"/>
  </r>
  <r>
    <x v="2"/>
    <d v="2023-04-05T00:00:00"/>
    <d v="2023-04-24T00:00:00"/>
    <x v="9"/>
    <n v="9"/>
    <n v="5"/>
    <n v="5.5726951227524033"/>
    <n v="5.6947303713270712"/>
    <n v="28.473651856635357"/>
    <n v="27.863475613762017"/>
    <n v="0.61017624287334016"/>
    <n v="5.0055367029168164E-2"/>
    <n v="0.66023160990250829"/>
    <n v="0"/>
    <n v="0"/>
    <n v="0"/>
    <n v="0.66023160990250829"/>
  </r>
  <r>
    <x v="3"/>
    <d v="2023-05-03T00:00:00"/>
    <d v="2023-05-24T00:00:00"/>
    <x v="9"/>
    <n v="9"/>
    <n v="7"/>
    <n v="5.5726951227524033"/>
    <n v="5.6947303713270712"/>
    <n v="39.863112599289501"/>
    <n v="39.00886585926682"/>
    <n v="0.85424674002268119"/>
    <n v="7.0077513840835437E-2"/>
    <n v="0.92432425386351658"/>
    <n v="0"/>
    <n v="0"/>
    <n v="0"/>
    <n v="0.92432425386351658"/>
  </r>
  <r>
    <x v="4"/>
    <d v="2023-06-05T00:00:00"/>
    <d v="2023-06-26T00:00:00"/>
    <x v="9"/>
    <n v="9"/>
    <n v="4"/>
    <n v="5.5726951227524033"/>
    <n v="5.6947303713270712"/>
    <n v="22.778921485308285"/>
    <n v="22.290780491009613"/>
    <n v="0.48814099429867142"/>
    <n v="4.0044293623334525E-2"/>
    <n v="0.52818528792200592"/>
    <n v="0"/>
    <n v="0"/>
    <n v="0"/>
    <n v="0.52818528792200592"/>
  </r>
  <r>
    <x v="5"/>
    <d v="2023-07-05T00:00:00"/>
    <d v="2023-07-24T00:00:00"/>
    <x v="9"/>
    <n v="9"/>
    <n v="14"/>
    <n v="5.5726951227524033"/>
    <n v="5.6947303713270712"/>
    <n v="79.726225198579002"/>
    <n v="78.017731718533639"/>
    <n v="1.7084934800453624"/>
    <n v="0.14015502768167087"/>
    <n v="1.8486485077270332"/>
    <n v="0"/>
    <n v="0"/>
    <n v="0"/>
    <n v="1.8486485077270332"/>
  </r>
  <r>
    <x v="6"/>
    <d v="2023-08-03T00:00:00"/>
    <d v="2023-08-24T00:00:00"/>
    <x v="9"/>
    <n v="9"/>
    <n v="13"/>
    <n v="5.5726951227524033"/>
    <n v="5.6947303713270712"/>
    <n v="74.031494827251919"/>
    <n v="72.445036595781247"/>
    <n v="1.5864582314706723"/>
    <n v="0.13014395427583722"/>
    <n v="1.7166021857465095"/>
    <n v="0"/>
    <n v="0"/>
    <n v="0"/>
    <n v="1.7166021857465095"/>
  </r>
  <r>
    <x v="7"/>
    <d v="2023-09-05T00:00:00"/>
    <d v="2023-09-25T00:00:00"/>
    <x v="9"/>
    <n v="9"/>
    <n v="19"/>
    <n v="5.5726951227524033"/>
    <n v="5.6947303713270712"/>
    <n v="108.19987705521436"/>
    <n v="105.88120733229566"/>
    <n v="2.318669722918699"/>
    <n v="0.19021039471083903"/>
    <n v="2.5088801176295381"/>
    <n v="0"/>
    <n v="0"/>
    <n v="0"/>
    <n v="2.5088801176295381"/>
  </r>
  <r>
    <x v="8"/>
    <d v="2023-10-04T00:00:00"/>
    <d v="2023-10-24T00:00:00"/>
    <x v="9"/>
    <n v="9"/>
    <n v="18"/>
    <n v="5.5726951227524033"/>
    <n v="5.6947303713270712"/>
    <n v="102.50514668388728"/>
    <n v="100.30851220954327"/>
    <n v="2.1966344743440089"/>
    <n v="0.18019932130500538"/>
    <n v="2.3768337956490142"/>
    <n v="0"/>
    <n v="0"/>
    <n v="0"/>
    <n v="2.3768337956490142"/>
  </r>
  <r>
    <x v="9"/>
    <d v="2023-11-03T00:00:00"/>
    <d v="2023-11-24T00:00:00"/>
    <x v="9"/>
    <n v="9"/>
    <n v="6"/>
    <n v="5.5726951227524033"/>
    <n v="5.6947303713270712"/>
    <n v="34.168382227962425"/>
    <n v="33.43617073651442"/>
    <n v="0.73221149144800535"/>
    <n v="6.0066440435001797E-2"/>
    <n v="0.7922779318830071"/>
    <n v="0"/>
    <n v="0"/>
    <n v="0"/>
    <n v="0.7922779318830071"/>
  </r>
  <r>
    <x v="10"/>
    <d v="2023-12-06T00:00:00"/>
    <d v="2023-12-25T00:00:00"/>
    <x v="9"/>
    <n v="9"/>
    <n v="6"/>
    <n v="5.5726951227524033"/>
    <n v="5.6947303713270712"/>
    <n v="34.168382227962425"/>
    <n v="33.43617073651442"/>
    <n v="0.73221149144800535"/>
    <n v="6.0066440435001797E-2"/>
    <n v="0.7922779318830071"/>
    <n v="0"/>
    <n v="0"/>
    <n v="0"/>
    <n v="0.7922779318830071"/>
  </r>
  <r>
    <x v="11"/>
    <d v="2024-01-03T00:00:00"/>
    <d v="2024-01-24T00:00:00"/>
    <x v="9"/>
    <n v="9"/>
    <n v="5"/>
    <n v="5.5726951227524033"/>
    <n v="5.6947303713270712"/>
    <n v="28.473651856635357"/>
    <n v="27.863475613762017"/>
    <n v="0.61017624287334016"/>
    <n v="5.0055367029168164E-2"/>
    <n v="0.66023160990250829"/>
    <n v="0"/>
    <n v="0"/>
    <n v="0"/>
    <n v="0.66023160990250829"/>
  </r>
  <r>
    <x v="0"/>
    <d v="2023-02-03T00:00:00"/>
    <d v="2023-02-24T00:00:00"/>
    <x v="10"/>
    <n v="9"/>
    <n v="4"/>
    <n v="5.5726951227524033"/>
    <n v="5.6947303713270712"/>
    <n v="22.778921485308285"/>
    <n v="22.290780491009613"/>
    <n v="0.48814099429867142"/>
    <n v="4.0044293623334525E-2"/>
    <n v="0.52818528792200592"/>
    <n v="0"/>
    <n v="0"/>
    <n v="0"/>
    <n v="0.52818528792200592"/>
  </r>
  <r>
    <x v="1"/>
    <d v="2023-03-03T00:00:00"/>
    <d v="2023-03-24T00:00:00"/>
    <x v="10"/>
    <n v="9"/>
    <n v="5"/>
    <n v="5.5726951227524033"/>
    <n v="5.6947303713270712"/>
    <n v="28.473651856635357"/>
    <n v="27.863475613762017"/>
    <n v="0.61017624287334016"/>
    <n v="5.0055367029168164E-2"/>
    <n v="0.66023160990250829"/>
    <n v="0"/>
    <n v="0"/>
    <n v="0"/>
    <n v="0.66023160990250829"/>
  </r>
  <r>
    <x v="2"/>
    <d v="2023-04-05T00:00:00"/>
    <d v="2023-04-24T00:00:00"/>
    <x v="10"/>
    <n v="9"/>
    <n v="1"/>
    <n v="5.5726951227524033"/>
    <n v="5.6947303713270712"/>
    <n v="5.6947303713270712"/>
    <n v="5.5726951227524033"/>
    <n v="0.12203524857466785"/>
    <n v="1.0011073405833631E-2"/>
    <n v="0.13204632198050148"/>
    <n v="0"/>
    <n v="0"/>
    <n v="0"/>
    <n v="0.13204632198050148"/>
  </r>
  <r>
    <x v="3"/>
    <d v="2023-05-03T00:00:00"/>
    <d v="2023-05-24T00:00:00"/>
    <x v="10"/>
    <n v="9"/>
    <n v="7"/>
    <n v="5.5726951227524033"/>
    <n v="5.6947303713270712"/>
    <n v="39.863112599289501"/>
    <n v="39.00886585926682"/>
    <n v="0.85424674002268119"/>
    <n v="7.0077513840835437E-2"/>
    <n v="0.92432425386351658"/>
    <n v="0"/>
    <n v="0"/>
    <n v="0"/>
    <n v="0.92432425386351658"/>
  </r>
  <r>
    <x v="4"/>
    <d v="2023-06-05T00:00:00"/>
    <d v="2023-06-26T00:00:00"/>
    <x v="10"/>
    <n v="9"/>
    <n v="3"/>
    <n v="5.5726951227524033"/>
    <n v="5.6947303713270712"/>
    <n v="17.084191113981213"/>
    <n v="16.71808536825721"/>
    <n v="0.36610574572400267"/>
    <n v="3.0033220217500899E-2"/>
    <n v="0.39613896594150355"/>
    <n v="0"/>
    <n v="0"/>
    <n v="0"/>
    <n v="0.39613896594150355"/>
  </r>
  <r>
    <x v="5"/>
    <d v="2023-07-05T00:00:00"/>
    <d v="2023-07-24T00:00:00"/>
    <x v="10"/>
    <n v="9"/>
    <n v="7"/>
    <n v="5.5726951227524033"/>
    <n v="5.6947303713270712"/>
    <n v="39.863112599289501"/>
    <n v="39.00886585926682"/>
    <n v="0.85424674002268119"/>
    <n v="7.0077513840835437E-2"/>
    <n v="0.92432425386351658"/>
    <n v="0"/>
    <n v="0"/>
    <n v="0"/>
    <n v="0.92432425386351658"/>
  </r>
  <r>
    <x v="6"/>
    <d v="2023-08-03T00:00:00"/>
    <d v="2023-08-24T00:00:00"/>
    <x v="10"/>
    <n v="9"/>
    <n v="5"/>
    <n v="5.5726951227524033"/>
    <n v="5.6947303713270712"/>
    <n v="28.473651856635357"/>
    <n v="27.863475613762017"/>
    <n v="0.61017624287334016"/>
    <n v="5.0055367029168164E-2"/>
    <n v="0.66023160990250829"/>
    <n v="0"/>
    <n v="0"/>
    <n v="0"/>
    <n v="0.66023160990250829"/>
  </r>
  <r>
    <x v="7"/>
    <d v="2023-09-05T00:00:00"/>
    <d v="2023-09-25T00:00:00"/>
    <x v="10"/>
    <n v="9"/>
    <n v="5"/>
    <n v="5.5726951227524033"/>
    <n v="5.6947303713270712"/>
    <n v="28.473651856635357"/>
    <n v="27.863475613762017"/>
    <n v="0.61017624287334016"/>
    <n v="5.0055367029168164E-2"/>
    <n v="0.66023160990250829"/>
    <n v="0"/>
    <n v="0"/>
    <n v="0"/>
    <n v="0.66023160990250829"/>
  </r>
  <r>
    <x v="8"/>
    <d v="2023-10-04T00:00:00"/>
    <d v="2023-10-24T00:00:00"/>
    <x v="10"/>
    <n v="9"/>
    <n v="6"/>
    <n v="5.5726951227524033"/>
    <n v="5.6947303713270712"/>
    <n v="34.168382227962425"/>
    <n v="33.43617073651442"/>
    <n v="0.73221149144800535"/>
    <n v="6.0066440435001797E-2"/>
    <n v="0.7922779318830071"/>
    <n v="0"/>
    <n v="0"/>
    <n v="0"/>
    <n v="0.7922779318830071"/>
  </r>
  <r>
    <x v="9"/>
    <d v="2023-11-03T00:00:00"/>
    <d v="2023-11-24T00:00:00"/>
    <x v="10"/>
    <n v="9"/>
    <n v="5"/>
    <n v="5.5726951227524033"/>
    <n v="5.6947303713270712"/>
    <n v="28.473651856635357"/>
    <n v="27.863475613762017"/>
    <n v="0.61017624287334016"/>
    <n v="5.0055367029168164E-2"/>
    <n v="0.66023160990250829"/>
    <n v="0"/>
    <n v="0"/>
    <n v="0"/>
    <n v="0.66023160990250829"/>
  </r>
  <r>
    <x v="10"/>
    <d v="2023-12-06T00:00:00"/>
    <d v="2023-12-25T00:00:00"/>
    <x v="10"/>
    <n v="9"/>
    <n v="4"/>
    <n v="5.5726951227524033"/>
    <n v="5.6947303713270712"/>
    <n v="22.778921485308285"/>
    <n v="22.290780491009613"/>
    <n v="0.48814099429867142"/>
    <n v="4.0044293623334525E-2"/>
    <n v="0.52818528792200592"/>
    <n v="0"/>
    <n v="0"/>
    <n v="0"/>
    <n v="0.52818528792200592"/>
  </r>
  <r>
    <x v="11"/>
    <d v="2024-01-03T00:00:00"/>
    <d v="2024-01-24T00:00:00"/>
    <x v="10"/>
    <n v="9"/>
    <n v="4"/>
    <n v="5.5726951227524033"/>
    <n v="5.6947303713270712"/>
    <n v="22.778921485308285"/>
    <n v="22.290780491009613"/>
    <n v="0.48814099429867142"/>
    <n v="4.0044293623334525E-2"/>
    <n v="0.52818528792200592"/>
    <n v="0"/>
    <n v="0"/>
    <n v="0"/>
    <n v="0.52818528792200592"/>
  </r>
  <r>
    <x v="0"/>
    <d v="2023-02-03T00:00:00"/>
    <d v="2023-02-24T00:00:00"/>
    <x v="11"/>
    <n v="9"/>
    <n v="113"/>
    <n v="5.5726951227524033"/>
    <n v="5.6947303713270712"/>
    <n v="643.50453195995908"/>
    <n v="629.71454887102152"/>
    <n v="13.789983088937561"/>
    <n v="1.1312512948592004"/>
    <n v="14.921234383796762"/>
    <n v="0"/>
    <n v="0"/>
    <n v="0"/>
    <n v="14.921234383796762"/>
  </r>
  <r>
    <x v="1"/>
    <d v="2023-03-03T00:00:00"/>
    <d v="2023-03-24T00:00:00"/>
    <x v="11"/>
    <n v="9"/>
    <n v="108"/>
    <n v="5.5726951227524033"/>
    <n v="5.6947303713270712"/>
    <n v="615.03088010332374"/>
    <n v="601.8510732572596"/>
    <n v="13.179806846064139"/>
    <n v="1.0811959278300325"/>
    <n v="14.261002773894171"/>
    <n v="0"/>
    <n v="0"/>
    <n v="0"/>
    <n v="14.261002773894171"/>
  </r>
  <r>
    <x v="2"/>
    <d v="2023-04-05T00:00:00"/>
    <d v="2023-04-24T00:00:00"/>
    <x v="11"/>
    <n v="9"/>
    <n v="96"/>
    <n v="5.5726951227524033"/>
    <n v="5.6947303713270712"/>
    <n v="546.6941156473988"/>
    <n v="534.97873178423072"/>
    <n v="11.715383863168086"/>
    <n v="0.96106304696002876"/>
    <n v="12.676446910128114"/>
    <n v="0"/>
    <n v="0"/>
    <n v="0"/>
    <n v="12.676446910128114"/>
  </r>
  <r>
    <x v="3"/>
    <d v="2023-05-03T00:00:00"/>
    <d v="2023-05-24T00:00:00"/>
    <x v="11"/>
    <n v="9"/>
    <n v="91"/>
    <n v="5.5726951227524033"/>
    <n v="5.6947303713270712"/>
    <n v="518.22046379076346"/>
    <n v="507.11525617046868"/>
    <n v="11.105207620294777"/>
    <n v="0.91100767993086063"/>
    <n v="12.016215300225639"/>
    <n v="0"/>
    <n v="0"/>
    <n v="0"/>
    <n v="12.016215300225639"/>
  </r>
  <r>
    <x v="4"/>
    <d v="2023-06-05T00:00:00"/>
    <d v="2023-06-26T00:00:00"/>
    <x v="11"/>
    <n v="9"/>
    <n v="125"/>
    <n v="5.5726951227524033"/>
    <n v="5.6947303713270712"/>
    <n v="711.8412964158839"/>
    <n v="696.5868903440504"/>
    <n v="15.2544060718335"/>
    <n v="1.2513841757292041"/>
    <n v="16.505790247562704"/>
    <n v="0"/>
    <n v="0"/>
    <n v="0"/>
    <n v="16.505790247562704"/>
  </r>
  <r>
    <x v="5"/>
    <d v="2023-07-05T00:00:00"/>
    <d v="2023-07-24T00:00:00"/>
    <x v="11"/>
    <n v="9"/>
    <n v="167"/>
    <n v="5.5726951227524033"/>
    <n v="5.6947303713270712"/>
    <n v="951.01997201162089"/>
    <n v="930.64008549965138"/>
    <n v="20.379886511969517"/>
    <n v="1.6718492587742166"/>
    <n v="22.051735770743733"/>
    <n v="0"/>
    <n v="0"/>
    <n v="0"/>
    <n v="22.051735770743733"/>
  </r>
  <r>
    <x v="6"/>
    <d v="2023-08-03T00:00:00"/>
    <d v="2023-08-24T00:00:00"/>
    <x v="11"/>
    <n v="9"/>
    <n v="160"/>
    <n v="5.5726951227524033"/>
    <n v="5.6947303713270712"/>
    <n v="911.15685941233141"/>
    <n v="891.63121964038453"/>
    <n v="19.525639771946885"/>
    <n v="1.6017717449333813"/>
    <n v="21.127411516880265"/>
    <n v="0"/>
    <n v="0"/>
    <n v="0"/>
    <n v="21.127411516880265"/>
  </r>
  <r>
    <x v="7"/>
    <d v="2023-09-05T00:00:00"/>
    <d v="2023-09-25T00:00:00"/>
    <x v="11"/>
    <n v="9"/>
    <n v="181"/>
    <n v="5.5726951227524033"/>
    <n v="5.6947303713270712"/>
    <n v="1030.7461972101999"/>
    <n v="1008.657817218185"/>
    <n v="22.088379992014893"/>
    <n v="1.8120042864558874"/>
    <n v="23.900384278470781"/>
    <n v="0"/>
    <n v="0"/>
    <n v="0"/>
    <n v="23.900384278470781"/>
  </r>
  <r>
    <x v="8"/>
    <d v="2023-10-04T00:00:00"/>
    <d v="2023-10-24T00:00:00"/>
    <x v="11"/>
    <n v="9"/>
    <n v="157"/>
    <n v="5.5726951227524033"/>
    <n v="5.6947303713270712"/>
    <n v="894.07266829835021"/>
    <n v="874.91313427212731"/>
    <n v="19.1595340262229"/>
    <n v="1.5717385247158804"/>
    <n v="20.73127255093878"/>
    <n v="0"/>
    <n v="0"/>
    <n v="0"/>
    <n v="20.73127255093878"/>
  </r>
  <r>
    <x v="9"/>
    <d v="2023-11-03T00:00:00"/>
    <d v="2023-11-24T00:00:00"/>
    <x v="11"/>
    <n v="9"/>
    <n v="118"/>
    <n v="5.5726951227524033"/>
    <n v="5.6947303713270712"/>
    <n v="671.97818381659442"/>
    <n v="657.57802448478355"/>
    <n v="14.400159331810869"/>
    <n v="1.1813066618883687"/>
    <n v="15.581465993699238"/>
    <n v="0"/>
    <n v="0"/>
    <n v="0"/>
    <n v="15.581465993699238"/>
  </r>
  <r>
    <x v="10"/>
    <d v="2023-12-06T00:00:00"/>
    <d v="2023-12-25T00:00:00"/>
    <x v="11"/>
    <n v="9"/>
    <n v="102"/>
    <n v="5.5726951227524033"/>
    <n v="5.6947303713270712"/>
    <n v="580.86249787536121"/>
    <n v="568.41490252074516"/>
    <n v="12.447595354616055"/>
    <n v="1.0211294873950305"/>
    <n v="13.468724842011087"/>
    <n v="0"/>
    <n v="0"/>
    <n v="0"/>
    <n v="13.468724842011087"/>
  </r>
  <r>
    <x v="11"/>
    <d v="2024-01-03T00:00:00"/>
    <d v="2024-01-24T00:00:00"/>
    <x v="11"/>
    <n v="9"/>
    <n v="99"/>
    <n v="5.5726951227524033"/>
    <n v="5.6947303713270712"/>
    <n v="563.77830676138001"/>
    <n v="551.69681715248794"/>
    <n v="12.08148960889207"/>
    <n v="0.99109626717752974"/>
    <n v="13.072585876069601"/>
    <n v="0"/>
    <n v="0"/>
    <n v="0"/>
    <n v="13.072585876069601"/>
  </r>
  <r>
    <x v="0"/>
    <d v="2023-02-03T00:00:00"/>
    <d v="2023-02-24T00:00:00"/>
    <x v="12"/>
    <n v="9"/>
    <n v="7"/>
    <n v="5.5726951227524033"/>
    <n v="5.6947303713270712"/>
    <n v="39.863112599289501"/>
    <n v="39.00886585926682"/>
    <n v="0.85424674002268119"/>
    <n v="7.0077513840835437E-2"/>
    <n v="0.92432425386351658"/>
    <n v="0"/>
    <n v="0"/>
    <n v="0"/>
    <n v="0.92432425386351658"/>
  </r>
  <r>
    <x v="1"/>
    <d v="2023-03-03T00:00:00"/>
    <d v="2023-03-24T00:00:00"/>
    <x v="12"/>
    <n v="9"/>
    <n v="10"/>
    <n v="5.5726951227524033"/>
    <n v="5.6947303713270712"/>
    <n v="56.947303713270713"/>
    <n v="55.726951227524033"/>
    <n v="1.2203524857466803"/>
    <n v="0.10011073405833633"/>
    <n v="1.3204632198050166"/>
    <n v="0"/>
    <n v="0"/>
    <n v="0"/>
    <n v="1.3204632198050166"/>
  </r>
  <r>
    <x v="2"/>
    <d v="2023-04-05T00:00:00"/>
    <d v="2023-04-24T00:00:00"/>
    <x v="12"/>
    <n v="9"/>
    <n v="8"/>
    <n v="5.5726951227524033"/>
    <n v="5.6947303713270712"/>
    <n v="45.557842970616569"/>
    <n v="44.581560982019226"/>
    <n v="0.97628198859734283"/>
    <n v="8.0088587246669049E-2"/>
    <n v="1.0563705758440118"/>
    <n v="0"/>
    <n v="0"/>
    <n v="0"/>
    <n v="1.0563705758440118"/>
  </r>
  <r>
    <x v="3"/>
    <d v="2023-05-03T00:00:00"/>
    <d v="2023-05-24T00:00:00"/>
    <x v="12"/>
    <n v="9"/>
    <n v="8"/>
    <n v="5.5726951227524033"/>
    <n v="5.6947303713270712"/>
    <n v="45.557842970616569"/>
    <n v="44.581560982019226"/>
    <n v="0.97628198859734283"/>
    <n v="8.0088587246669049E-2"/>
    <n v="1.0563705758440118"/>
    <n v="0"/>
    <n v="0"/>
    <n v="0"/>
    <n v="1.0563705758440118"/>
  </r>
  <r>
    <x v="4"/>
    <d v="2023-06-05T00:00:00"/>
    <d v="2023-06-26T00:00:00"/>
    <x v="12"/>
    <n v="9"/>
    <n v="10"/>
    <n v="5.5726951227524033"/>
    <n v="5.6947303713270712"/>
    <n v="56.947303713270713"/>
    <n v="55.726951227524033"/>
    <n v="1.2203524857466803"/>
    <n v="0.10011073405833633"/>
    <n v="1.3204632198050166"/>
    <n v="0"/>
    <n v="0"/>
    <n v="0"/>
    <n v="1.3204632198050166"/>
  </r>
  <r>
    <x v="5"/>
    <d v="2023-07-05T00:00:00"/>
    <d v="2023-07-24T00:00:00"/>
    <x v="12"/>
    <n v="9"/>
    <n v="12"/>
    <n v="5.5726951227524033"/>
    <n v="5.6947303713270712"/>
    <n v="68.33676445592485"/>
    <n v="66.87234147302884"/>
    <n v="1.4644229828960107"/>
    <n v="0.12013288087000359"/>
    <n v="1.5845558637660142"/>
    <n v="0"/>
    <n v="0"/>
    <n v="0"/>
    <n v="1.5845558637660142"/>
  </r>
  <r>
    <x v="6"/>
    <d v="2023-08-03T00:00:00"/>
    <d v="2023-08-24T00:00:00"/>
    <x v="12"/>
    <n v="9"/>
    <n v="14"/>
    <n v="5.5726951227524033"/>
    <n v="5.6947303713270712"/>
    <n v="79.726225198579002"/>
    <n v="78.017731718533639"/>
    <n v="1.7084934800453624"/>
    <n v="0.14015502768167087"/>
    <n v="1.8486485077270332"/>
    <n v="0"/>
    <n v="0"/>
    <n v="0"/>
    <n v="1.8486485077270332"/>
  </r>
  <r>
    <x v="7"/>
    <d v="2023-09-05T00:00:00"/>
    <d v="2023-09-25T00:00:00"/>
    <x v="12"/>
    <n v="9"/>
    <n v="13"/>
    <n v="5.5726951227524033"/>
    <n v="5.6947303713270712"/>
    <n v="74.031494827251919"/>
    <n v="72.445036595781247"/>
    <n v="1.5864582314706723"/>
    <n v="0.13014395427583722"/>
    <n v="1.7166021857465095"/>
    <n v="0"/>
    <n v="0"/>
    <n v="0"/>
    <n v="1.7166021857465095"/>
  </r>
  <r>
    <x v="8"/>
    <d v="2023-10-04T00:00:00"/>
    <d v="2023-10-24T00:00:00"/>
    <x v="12"/>
    <n v="9"/>
    <n v="13"/>
    <n v="5.5726951227524033"/>
    <n v="5.6947303713270712"/>
    <n v="74.031494827251919"/>
    <n v="72.445036595781247"/>
    <n v="1.5864582314706723"/>
    <n v="0.13014395427583722"/>
    <n v="1.7166021857465095"/>
    <n v="0"/>
    <n v="0"/>
    <n v="0"/>
    <n v="1.7166021857465095"/>
  </r>
  <r>
    <x v="9"/>
    <d v="2023-11-03T00:00:00"/>
    <d v="2023-11-24T00:00:00"/>
    <x v="12"/>
    <n v="9"/>
    <n v="11"/>
    <n v="5.5726951227524033"/>
    <n v="5.6947303713270712"/>
    <n v="62.642034084597782"/>
    <n v="61.299646350276433"/>
    <n v="1.3423877343213491"/>
    <n v="0.11012180746416997"/>
    <n v="1.4525095417855189"/>
    <n v="0"/>
    <n v="0"/>
    <n v="0"/>
    <n v="1.4525095417855189"/>
  </r>
  <r>
    <x v="10"/>
    <d v="2023-12-06T00:00:00"/>
    <d v="2023-12-25T00:00:00"/>
    <x v="12"/>
    <n v="9"/>
    <n v="7"/>
    <n v="5.5726951227524033"/>
    <n v="5.6947303713270712"/>
    <n v="39.863112599289501"/>
    <n v="39.00886585926682"/>
    <n v="0.85424674002268119"/>
    <n v="7.0077513840835437E-2"/>
    <n v="0.92432425386351658"/>
    <n v="0"/>
    <n v="0"/>
    <n v="0"/>
    <n v="0.92432425386351658"/>
  </r>
  <r>
    <x v="11"/>
    <d v="2024-01-03T00:00:00"/>
    <d v="2024-01-24T00:00:00"/>
    <x v="12"/>
    <n v="9"/>
    <n v="8"/>
    <n v="5.5726951227524033"/>
    <n v="5.6947303713270712"/>
    <n v="45.557842970616569"/>
    <n v="44.581560982019226"/>
    <n v="0.97628198859734283"/>
    <n v="8.0088587246669049E-2"/>
    <n v="1.0563705758440118"/>
    <n v="0"/>
    <n v="0"/>
    <n v="0"/>
    <n v="1.0563705758440118"/>
  </r>
  <r>
    <x v="0"/>
    <d v="2023-02-03T00:00:00"/>
    <d v="2023-02-24T00:00:00"/>
    <x v="13"/>
    <n v="9"/>
    <n v="21"/>
    <n v="5.5726951227524033"/>
    <n v="5.6947303713270712"/>
    <n v="119.5893377978685"/>
    <n v="117.02659757780047"/>
    <n v="2.5627402200680223"/>
    <n v="0.21023254152250628"/>
    <n v="2.7729727615905286"/>
    <n v="0"/>
    <n v="0"/>
    <n v="0"/>
    <n v="2.7729727615905286"/>
  </r>
  <r>
    <x v="1"/>
    <d v="2023-03-03T00:00:00"/>
    <d v="2023-03-24T00:00:00"/>
    <x v="13"/>
    <n v="9"/>
    <n v="21"/>
    <n v="5.5726951227524033"/>
    <n v="5.6947303713270712"/>
    <n v="119.5893377978685"/>
    <n v="117.02659757780047"/>
    <n v="2.5627402200680223"/>
    <n v="0.21023254152250628"/>
    <n v="2.7729727615905286"/>
    <n v="0"/>
    <n v="0"/>
    <n v="0"/>
    <n v="2.7729727615905286"/>
  </r>
  <r>
    <x v="2"/>
    <d v="2023-04-05T00:00:00"/>
    <d v="2023-04-24T00:00:00"/>
    <x v="13"/>
    <n v="9"/>
    <n v="19"/>
    <n v="5.5726951227524033"/>
    <n v="5.6947303713270712"/>
    <n v="108.19987705521436"/>
    <n v="105.88120733229566"/>
    <n v="2.318669722918699"/>
    <n v="0.19021039471083903"/>
    <n v="2.5088801176295381"/>
    <n v="0"/>
    <n v="0"/>
    <n v="0"/>
    <n v="2.5088801176295381"/>
  </r>
  <r>
    <x v="3"/>
    <d v="2023-05-03T00:00:00"/>
    <d v="2023-05-24T00:00:00"/>
    <x v="13"/>
    <n v="9"/>
    <n v="21"/>
    <n v="5.5726951227524033"/>
    <n v="5.6947303713270712"/>
    <n v="119.5893377978685"/>
    <n v="117.02659757780047"/>
    <n v="2.5627402200680223"/>
    <n v="0.21023254152250628"/>
    <n v="2.7729727615905286"/>
    <n v="0"/>
    <n v="0"/>
    <n v="0"/>
    <n v="2.7729727615905286"/>
  </r>
  <r>
    <x v="4"/>
    <d v="2023-06-05T00:00:00"/>
    <d v="2023-06-26T00:00:00"/>
    <x v="13"/>
    <n v="9"/>
    <n v="28"/>
    <n v="5.5726951227524033"/>
    <n v="5.6947303713270712"/>
    <n v="159.452450397158"/>
    <n v="156.03546343706728"/>
    <n v="3.4169869600907248"/>
    <n v="0.28031005536334175"/>
    <n v="3.6972970154540663"/>
    <n v="0"/>
    <n v="0"/>
    <n v="0"/>
    <n v="3.6972970154540663"/>
  </r>
  <r>
    <x v="5"/>
    <d v="2023-07-05T00:00:00"/>
    <d v="2023-07-24T00:00:00"/>
    <x v="13"/>
    <n v="9"/>
    <n v="37"/>
    <n v="5.5726951227524033"/>
    <n v="5.6947303713270712"/>
    <n v="210.70502373910162"/>
    <n v="206.18971954183891"/>
    <n v="4.5153041972627079"/>
    <n v="0.37040971601584438"/>
    <n v="4.8857139132785523"/>
    <n v="0"/>
    <n v="0"/>
    <n v="0"/>
    <n v="4.8857139132785523"/>
  </r>
  <r>
    <x v="6"/>
    <d v="2023-08-03T00:00:00"/>
    <d v="2023-08-24T00:00:00"/>
    <x v="13"/>
    <n v="9"/>
    <n v="38"/>
    <n v="5.5726951227524033"/>
    <n v="5.6947303713270712"/>
    <n v="216.39975411042872"/>
    <n v="211.76241466459132"/>
    <n v="4.637339445837398"/>
    <n v="0.38042078942167806"/>
    <n v="5.0177602352590762"/>
    <n v="0"/>
    <n v="0"/>
    <n v="0"/>
    <n v="5.0177602352590762"/>
  </r>
  <r>
    <x v="7"/>
    <d v="2023-09-05T00:00:00"/>
    <d v="2023-09-25T00:00:00"/>
    <x v="13"/>
    <n v="9"/>
    <n v="40"/>
    <n v="5.5726951227524033"/>
    <n v="5.6947303713270712"/>
    <n v="227.78921485308285"/>
    <n v="222.90780491009613"/>
    <n v="4.8814099429867213"/>
    <n v="0.40044293623334531"/>
    <n v="5.2818528792200663"/>
    <n v="0"/>
    <n v="0"/>
    <n v="0"/>
    <n v="5.2818528792200663"/>
  </r>
  <r>
    <x v="8"/>
    <d v="2023-10-04T00:00:00"/>
    <d v="2023-10-24T00:00:00"/>
    <x v="13"/>
    <n v="9"/>
    <n v="37"/>
    <n v="5.5726951227524033"/>
    <n v="5.6947303713270712"/>
    <n v="210.70502373910162"/>
    <n v="206.18971954183891"/>
    <n v="4.5153041972627079"/>
    <n v="0.37040971601584438"/>
    <n v="4.8857139132785523"/>
    <n v="0"/>
    <n v="0"/>
    <n v="0"/>
    <n v="4.8857139132785523"/>
  </r>
  <r>
    <x v="9"/>
    <d v="2023-11-03T00:00:00"/>
    <d v="2023-11-24T00:00:00"/>
    <x v="13"/>
    <n v="9"/>
    <n v="30"/>
    <n v="5.5726951227524033"/>
    <n v="5.6947303713270712"/>
    <n v="170.84191113981214"/>
    <n v="167.18085368257209"/>
    <n v="3.6610574572400481"/>
    <n v="0.300332202175009"/>
    <n v="3.9613896594150573"/>
    <n v="0"/>
    <n v="0"/>
    <n v="0"/>
    <n v="3.9613896594150573"/>
  </r>
  <r>
    <x v="10"/>
    <d v="2023-12-06T00:00:00"/>
    <d v="2023-12-25T00:00:00"/>
    <x v="13"/>
    <n v="9"/>
    <n v="19"/>
    <n v="5.5726951227524033"/>
    <n v="5.6947303713270712"/>
    <n v="108.19987705521436"/>
    <n v="105.88120733229566"/>
    <n v="2.318669722918699"/>
    <n v="0.19021039471083903"/>
    <n v="2.5088801176295381"/>
    <n v="0"/>
    <n v="0"/>
    <n v="0"/>
    <n v="2.5088801176295381"/>
  </r>
  <r>
    <x v="11"/>
    <d v="2024-01-03T00:00:00"/>
    <d v="2024-01-24T00:00:00"/>
    <x v="13"/>
    <n v="9"/>
    <n v="20"/>
    <n v="5.5726951227524033"/>
    <n v="5.6947303713270712"/>
    <n v="113.89460742654143"/>
    <n v="111.45390245504807"/>
    <n v="2.4407049714933606"/>
    <n v="0.20022146811667266"/>
    <n v="2.6409264396100331"/>
    <n v="0"/>
    <n v="0"/>
    <n v="0"/>
    <n v="2.6409264396100331"/>
  </r>
  <r>
    <x v="0"/>
    <d v="2023-02-03T00:00:00"/>
    <d v="2023-02-24T00:00:00"/>
    <x v="14"/>
    <n v="9"/>
    <n v="36"/>
    <n v="5.5726951227524033"/>
    <n v="5.6947303713270712"/>
    <n v="205.01029336777455"/>
    <n v="200.61702441908653"/>
    <n v="4.3932689486880179"/>
    <n v="0.36039864261001076"/>
    <n v="4.7536675912980284"/>
    <n v="0"/>
    <n v="0"/>
    <n v="0"/>
    <n v="4.7536675912980284"/>
  </r>
  <r>
    <x v="1"/>
    <d v="2023-03-03T00:00:00"/>
    <d v="2023-03-24T00:00:00"/>
    <x v="14"/>
    <n v="9"/>
    <n v="32"/>
    <n v="5.5726951227524033"/>
    <n v="5.6947303713270712"/>
    <n v="182.23137188246628"/>
    <n v="178.32624392807691"/>
    <n v="3.9051279543893713"/>
    <n v="0.3203543489866762"/>
    <n v="4.2254823033760474"/>
    <n v="0"/>
    <n v="0"/>
    <n v="0"/>
    <n v="4.2254823033760474"/>
  </r>
  <r>
    <x v="2"/>
    <d v="2023-04-05T00:00:00"/>
    <d v="2023-04-24T00:00:00"/>
    <x v="14"/>
    <n v="9"/>
    <n v="32"/>
    <n v="5.5726951227524033"/>
    <n v="5.6947303713270712"/>
    <n v="182.23137188246628"/>
    <n v="178.32624392807691"/>
    <n v="3.9051279543893713"/>
    <n v="0.3203543489866762"/>
    <n v="4.2254823033760474"/>
    <n v="0"/>
    <n v="0"/>
    <n v="0"/>
    <n v="4.2254823033760474"/>
  </r>
  <r>
    <x v="3"/>
    <d v="2023-05-03T00:00:00"/>
    <d v="2023-05-24T00:00:00"/>
    <x v="14"/>
    <n v="9"/>
    <n v="31"/>
    <n v="5.5726951227524033"/>
    <n v="5.6947303713270712"/>
    <n v="176.53664151113921"/>
    <n v="172.7535488053245"/>
    <n v="3.7830927058147097"/>
    <n v="0.31034327558084257"/>
    <n v="4.0934359813955519"/>
    <n v="0"/>
    <n v="0"/>
    <n v="0"/>
    <n v="4.0934359813955519"/>
  </r>
  <r>
    <x v="4"/>
    <d v="2023-06-05T00:00:00"/>
    <d v="2023-06-26T00:00:00"/>
    <x v="14"/>
    <n v="9"/>
    <n v="38"/>
    <n v="5.5726951227524033"/>
    <n v="5.6947303713270712"/>
    <n v="216.39975411042872"/>
    <n v="211.76241466459132"/>
    <n v="4.637339445837398"/>
    <n v="0.38042078942167806"/>
    <n v="5.0177602352590762"/>
    <n v="0"/>
    <n v="0"/>
    <n v="0"/>
    <n v="5.0177602352590762"/>
  </r>
  <r>
    <x v="5"/>
    <d v="2023-07-05T00:00:00"/>
    <d v="2023-07-24T00:00:00"/>
    <x v="14"/>
    <n v="9"/>
    <n v="48"/>
    <n v="5.5726951227524033"/>
    <n v="5.6947303713270712"/>
    <n v="273.3470578236994"/>
    <n v="267.48936589211536"/>
    <n v="5.8576919315840428"/>
    <n v="0.48053152348001438"/>
    <n v="6.3382234550640568"/>
    <n v="0"/>
    <n v="0"/>
    <n v="0"/>
    <n v="6.3382234550640568"/>
  </r>
  <r>
    <x v="6"/>
    <d v="2023-08-03T00:00:00"/>
    <d v="2023-08-24T00:00:00"/>
    <x v="14"/>
    <n v="9"/>
    <n v="49"/>
    <n v="5.5726951227524033"/>
    <n v="5.6947303713270712"/>
    <n v="279.04178819502647"/>
    <n v="273.06206101486777"/>
    <n v="5.9797271801587044"/>
    <n v="0.490542596885848"/>
    <n v="6.4702697770445523"/>
    <n v="0"/>
    <n v="0"/>
    <n v="0"/>
    <n v="6.4702697770445523"/>
  </r>
  <r>
    <x v="7"/>
    <d v="2023-09-05T00:00:00"/>
    <d v="2023-09-25T00:00:00"/>
    <x v="14"/>
    <n v="9"/>
    <n v="50"/>
    <n v="5.5726951227524033"/>
    <n v="5.6947303713270712"/>
    <n v="284.73651856635354"/>
    <n v="278.63475613762017"/>
    <n v="6.1017624287333661"/>
    <n v="0.50055367029168163"/>
    <n v="6.6023160990250478"/>
    <n v="0"/>
    <n v="0"/>
    <n v="0"/>
    <n v="6.6023160990250478"/>
  </r>
  <r>
    <x v="8"/>
    <d v="2023-10-04T00:00:00"/>
    <d v="2023-10-24T00:00:00"/>
    <x v="14"/>
    <n v="9"/>
    <n v="47"/>
    <n v="5.5726951227524033"/>
    <n v="5.6947303713270712"/>
    <n v="267.65232745237233"/>
    <n v="261.91667076936295"/>
    <n v="5.7356566830093811"/>
    <n v="0.47052045007418075"/>
    <n v="6.2061771330835622"/>
    <n v="0"/>
    <n v="0"/>
    <n v="0"/>
    <n v="6.2061771330835622"/>
  </r>
  <r>
    <x v="9"/>
    <d v="2023-11-03T00:00:00"/>
    <d v="2023-11-24T00:00:00"/>
    <x v="14"/>
    <n v="9"/>
    <n v="36"/>
    <n v="5.5726951227524033"/>
    <n v="5.6947303713270712"/>
    <n v="205.01029336777455"/>
    <n v="200.61702441908653"/>
    <n v="4.3932689486880179"/>
    <n v="0.36039864261001076"/>
    <n v="4.7536675912980284"/>
    <n v="0"/>
    <n v="0"/>
    <n v="0"/>
    <n v="4.7536675912980284"/>
  </r>
  <r>
    <x v="10"/>
    <d v="2023-12-06T00:00:00"/>
    <d v="2023-12-25T00:00:00"/>
    <x v="14"/>
    <n v="9"/>
    <n v="26"/>
    <n v="5.5726951227524033"/>
    <n v="5.6947303713270712"/>
    <n v="148.06298965450384"/>
    <n v="144.89007319156249"/>
    <n v="3.1729164629413447"/>
    <n v="0.26028790855167444"/>
    <n v="3.4332043714930189"/>
    <n v="0"/>
    <n v="0"/>
    <n v="0"/>
    <n v="3.4332043714930189"/>
  </r>
  <r>
    <x v="11"/>
    <d v="2024-01-03T00:00:00"/>
    <d v="2024-01-24T00:00:00"/>
    <x v="14"/>
    <n v="9"/>
    <n v="31"/>
    <n v="5.5726951227524033"/>
    <n v="5.6947303713270712"/>
    <n v="176.53664151113921"/>
    <n v="172.7535488053245"/>
    <n v="3.7830927058147097"/>
    <n v="0.31034327558084257"/>
    <n v="4.0934359813955519"/>
    <n v="0"/>
    <n v="0"/>
    <n v="0"/>
    <n v="4.0934359813955519"/>
  </r>
  <r>
    <x v="0"/>
    <d v="2023-02-03T00:00:00"/>
    <d v="2023-02-24T00:00:00"/>
    <x v="15"/>
    <n v="9"/>
    <n v="104"/>
    <n v="5.5726951227524033"/>
    <n v="5.6947303713270712"/>
    <n v="592.25195861801535"/>
    <n v="579.56029276624997"/>
    <n v="12.691665851765379"/>
    <n v="1.0411516342066978"/>
    <n v="13.732817485972076"/>
    <n v="0"/>
    <n v="0"/>
    <n v="0"/>
    <n v="13.732817485972076"/>
  </r>
  <r>
    <x v="1"/>
    <d v="2023-03-03T00:00:00"/>
    <d v="2023-03-24T00:00:00"/>
    <x v="15"/>
    <n v="9"/>
    <n v="107"/>
    <n v="5.5726951227524033"/>
    <n v="5.6947303713270712"/>
    <n v="609.33614973199667"/>
    <n v="596.27837813450719"/>
    <n v="13.057771597489477"/>
    <n v="1.0711848544241986"/>
    <n v="14.128956451913677"/>
    <n v="0"/>
    <n v="0"/>
    <n v="0"/>
    <n v="14.128956451913677"/>
  </r>
  <r>
    <x v="2"/>
    <d v="2023-04-05T00:00:00"/>
    <d v="2023-04-24T00:00:00"/>
    <x v="15"/>
    <n v="9"/>
    <n v="103"/>
    <n v="5.5726951227524033"/>
    <n v="5.6947303713270712"/>
    <n v="586.55722824668828"/>
    <n v="573.98759764349757"/>
    <n v="12.569630603190717"/>
    <n v="1.0311405608008641"/>
    <n v="13.600771163991581"/>
    <n v="0"/>
    <n v="0"/>
    <n v="0"/>
    <n v="13.600771163991581"/>
  </r>
  <r>
    <x v="3"/>
    <d v="2023-05-03T00:00:00"/>
    <d v="2023-05-24T00:00:00"/>
    <x v="15"/>
    <n v="9"/>
    <n v="98"/>
    <n v="5.5726951227524033"/>
    <n v="5.6947303713270712"/>
    <n v="558.08357639005294"/>
    <n v="546.12412202973553"/>
    <n v="11.959454360317409"/>
    <n v="0.98108519377169601"/>
    <n v="12.940539554089105"/>
    <n v="0"/>
    <n v="0"/>
    <n v="0"/>
    <n v="12.940539554089105"/>
  </r>
  <r>
    <x v="4"/>
    <d v="2023-06-05T00:00:00"/>
    <d v="2023-06-26T00:00:00"/>
    <x v="15"/>
    <n v="9"/>
    <n v="105"/>
    <n v="5.5726951227524033"/>
    <n v="5.6947303713270712"/>
    <n v="597.94668898934242"/>
    <n v="585.13298788900238"/>
    <n v="12.81370110034004"/>
    <n v="1.0511627076125314"/>
    <n v="13.864863807952572"/>
    <n v="0"/>
    <n v="0"/>
    <n v="0"/>
    <n v="13.864863807952572"/>
  </r>
  <r>
    <x v="5"/>
    <d v="2023-07-05T00:00:00"/>
    <d v="2023-07-24T00:00:00"/>
    <x v="15"/>
    <n v="9"/>
    <n v="115"/>
    <n v="5.5726951227524033"/>
    <n v="5.6947303713270712"/>
    <n v="654.89399270261322"/>
    <n v="640.85993911652633"/>
    <n v="14.034053586086884"/>
    <n v="1.1512734416708676"/>
    <n v="15.185327027757751"/>
    <n v="0"/>
    <n v="0"/>
    <n v="0"/>
    <n v="15.185327027757751"/>
  </r>
  <r>
    <x v="6"/>
    <d v="2023-08-03T00:00:00"/>
    <d v="2023-08-24T00:00:00"/>
    <x v="15"/>
    <n v="9"/>
    <n v="110"/>
    <n v="5.5726951227524033"/>
    <n v="5.6947303713270712"/>
    <n v="626.42034084597788"/>
    <n v="612.99646350276441"/>
    <n v="13.423877343213462"/>
    <n v="1.1012180746416997"/>
    <n v="14.525095417855162"/>
    <n v="0"/>
    <n v="0"/>
    <n v="0"/>
    <n v="14.525095417855162"/>
  </r>
  <r>
    <x v="7"/>
    <d v="2023-09-05T00:00:00"/>
    <d v="2023-09-25T00:00:00"/>
    <x v="15"/>
    <n v="9"/>
    <n v="109"/>
    <n v="5.5726951227524033"/>
    <n v="5.6947303713270712"/>
    <n v="620.72561047465081"/>
    <n v="607.42376838001201"/>
    <n v="13.301842094638801"/>
    <n v="1.0912070012358659"/>
    <n v="14.393049095874666"/>
    <n v="0"/>
    <n v="0"/>
    <n v="0"/>
    <n v="14.393049095874666"/>
  </r>
  <r>
    <x v="8"/>
    <d v="2023-10-04T00:00:00"/>
    <d v="2023-10-24T00:00:00"/>
    <x v="15"/>
    <n v="9"/>
    <n v="112"/>
    <n v="5.5726951227524033"/>
    <n v="5.6947303713270712"/>
    <n v="637.80980158863201"/>
    <n v="624.14185374826911"/>
    <n v="13.667947840362899"/>
    <n v="1.121240221453367"/>
    <n v="14.789188061816265"/>
    <n v="0"/>
    <n v="0"/>
    <n v="0"/>
    <n v="14.789188061816265"/>
  </r>
  <r>
    <x v="9"/>
    <d v="2023-11-03T00:00:00"/>
    <d v="2023-11-24T00:00:00"/>
    <x v="15"/>
    <n v="9"/>
    <n v="107"/>
    <n v="5.5726951227524033"/>
    <n v="5.6947303713270712"/>
    <n v="609.33614973199667"/>
    <n v="596.27837813450719"/>
    <n v="13.057771597489477"/>
    <n v="1.0711848544241986"/>
    <n v="14.128956451913677"/>
    <n v="0"/>
    <n v="0"/>
    <n v="0"/>
    <n v="14.128956451913677"/>
  </r>
  <r>
    <x v="10"/>
    <d v="2023-12-06T00:00:00"/>
    <d v="2023-12-25T00:00:00"/>
    <x v="15"/>
    <n v="9"/>
    <n v="104"/>
    <n v="5.5726951227524033"/>
    <n v="5.6947303713270712"/>
    <n v="592.25195861801535"/>
    <n v="579.56029276624997"/>
    <n v="12.691665851765379"/>
    <n v="1.0411516342066978"/>
    <n v="13.732817485972076"/>
    <n v="0"/>
    <n v="0"/>
    <n v="0"/>
    <n v="13.732817485972076"/>
  </r>
  <r>
    <x v="11"/>
    <d v="2024-01-03T00:00:00"/>
    <d v="2024-01-24T00:00:00"/>
    <x v="15"/>
    <n v="9"/>
    <n v="101"/>
    <n v="5.5726951227524033"/>
    <n v="5.6947303713270712"/>
    <n v="575.16776750403415"/>
    <n v="562.84220739799275"/>
    <n v="12.325560106041394"/>
    <n v="1.0111184139891969"/>
    <n v="13.33667852003059"/>
    <n v="0"/>
    <n v="0"/>
    <n v="0"/>
    <n v="13.3366785200305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59" dataOnRows="1" applyNumberFormats="0" applyBorderFormats="0" applyFontFormats="0" applyPatternFormats="0" applyAlignmentFormats="0" applyWidthHeightFormats="1" dataCaption="Data" updatedVersion="8" minRefreshableVersion="3" asteriskTotals="1" showMemberPropertyTips="0" useAutoFormatting="1" itemPrintTitles="1" createdVersion="6" indent="0" compact="0" compactData="0" gridDropZones="1">
  <location ref="A3:O123" firstHeaderRow="1" firstDataRow="2" firstDataCol="2"/>
  <pivotFields count="17">
    <pivotField axis="axisCol" compact="0" numFmtId="17" outline="0" subtotalTop="0" showAll="0" includeNewItemsInFilter="1">
      <items count="169">
        <item m="1" x="69"/>
        <item m="1" x="93"/>
        <item m="1" x="117"/>
        <item m="1" x="141"/>
        <item m="1" x="165"/>
        <item m="1" x="45"/>
        <item m="1" x="80"/>
        <item m="1" x="104"/>
        <item m="1" x="128"/>
        <item m="1" x="152"/>
        <item m="1" x="32"/>
        <item m="1" x="56"/>
        <item m="1" x="70"/>
        <item m="1" x="94"/>
        <item m="1" x="118"/>
        <item m="1" x="142"/>
        <item m="1" x="166"/>
        <item m="1" x="46"/>
        <item m="1" x="82"/>
        <item m="1" x="106"/>
        <item m="1" x="130"/>
        <item m="1" x="154"/>
        <item m="1" x="34"/>
        <item m="1" x="58"/>
        <item m="1" x="71"/>
        <item m="1" x="95"/>
        <item m="1" x="119"/>
        <item m="1" x="143"/>
        <item m="1" x="167"/>
        <item m="1" x="47"/>
        <item m="1" x="83"/>
        <item m="1" x="107"/>
        <item m="1" x="131"/>
        <item m="1" x="155"/>
        <item m="1" x="35"/>
        <item m="1" x="59"/>
        <item m="1" x="72"/>
        <item m="1" x="96"/>
        <item m="1" x="120"/>
        <item m="1" x="144"/>
        <item m="1" x="24"/>
        <item m="1" x="48"/>
        <item m="1" x="84"/>
        <item m="1" x="108"/>
        <item m="1" x="132"/>
        <item m="1" x="156"/>
        <item m="1" x="36"/>
        <item m="1" x="60"/>
        <item m="1" x="73"/>
        <item m="1" x="97"/>
        <item m="1" x="121"/>
        <item m="1" x="145"/>
        <item m="1" x="25"/>
        <item m="1" x="49"/>
        <item m="1" x="85"/>
        <item m="1" x="109"/>
        <item m="1" x="133"/>
        <item m="1" x="157"/>
        <item m="1" x="37"/>
        <item m="1" x="61"/>
        <item m="1" x="74"/>
        <item m="1" x="98"/>
        <item m="1" x="122"/>
        <item m="1" x="146"/>
        <item m="1" x="26"/>
        <item m="1" x="50"/>
        <item m="1" x="86"/>
        <item m="1" x="110"/>
        <item m="1" x="134"/>
        <item m="1" x="158"/>
        <item m="1" x="38"/>
        <item m="1" x="62"/>
        <item m="1" x="75"/>
        <item m="1" x="99"/>
        <item m="1" x="123"/>
        <item m="1" x="147"/>
        <item m="1" x="27"/>
        <item m="1" x="51"/>
        <item m="1" x="87"/>
        <item m="1" x="111"/>
        <item m="1" x="135"/>
        <item m="1" x="159"/>
        <item m="1" x="39"/>
        <item m="1" x="63"/>
        <item m="1" x="76"/>
        <item m="1" x="100"/>
        <item m="1" x="124"/>
        <item m="1" x="148"/>
        <item m="1" x="28"/>
        <item m="1" x="52"/>
        <item m="1" x="88"/>
        <item m="1" x="112"/>
        <item m="1" x="136"/>
        <item m="1" x="160"/>
        <item m="1" x="40"/>
        <item m="1" x="64"/>
        <item m="1" x="77"/>
        <item m="1" x="101"/>
        <item m="1" x="125"/>
        <item m="1" x="149"/>
        <item m="1" x="29"/>
        <item m="1" x="53"/>
        <item m="1" x="89"/>
        <item m="1" x="113"/>
        <item m="1" x="137"/>
        <item m="1" x="161"/>
        <item m="1" x="41"/>
        <item m="1" x="65"/>
        <item m="1" x="78"/>
        <item m="1" x="102"/>
        <item m="1" x="126"/>
        <item m="1" x="150"/>
        <item m="1" x="30"/>
        <item m="1" x="54"/>
        <item m="1" x="90"/>
        <item m="1" x="114"/>
        <item m="1" x="138"/>
        <item m="1" x="162"/>
        <item m="1" x="42"/>
        <item m="1" x="66"/>
        <item m="1" x="79"/>
        <item m="1" x="103"/>
        <item m="1" x="127"/>
        <item m="1" x="151"/>
        <item m="1" x="31"/>
        <item m="1" x="55"/>
        <item m="1" x="91"/>
        <item m="1" x="115"/>
        <item m="1" x="139"/>
        <item m="1" x="163"/>
        <item m="1" x="43"/>
        <item m="1" x="67"/>
        <item m="1" x="81"/>
        <item m="1" x="105"/>
        <item m="1" x="129"/>
        <item m="1" x="153"/>
        <item m="1" x="33"/>
        <item m="1" x="57"/>
        <item m="1" x="92"/>
        <item m="1" x="116"/>
        <item m="1" x="140"/>
        <item m="1" x="164"/>
        <item m="1" x="44"/>
        <item m="1" x="68"/>
        <item m="1" x="12"/>
        <item m="1" x="13"/>
        <item m="1" x="14"/>
        <item m="1" x="15"/>
        <item m="1" x="16"/>
        <item m="1" x="17"/>
        <item m="1" x="18"/>
        <item m="1" x="19"/>
        <item m="1" x="20"/>
        <item m="1" x="21"/>
        <item m="1" x="22"/>
        <item m="1" x="2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numFmtId="14" outline="0" subtotalTop="0" showAll="0" includeNewItemsInFilter="1"/>
    <pivotField compact="0" numFmtId="14" outline="0" subtotalTop="0" showAll="0" includeNewItemsInFilter="1"/>
    <pivotField axis="axisRow" compact="0" outline="0" subtotalTop="0" showAll="0" includeNewItemsInFilter="1">
      <items count="23">
        <item x="3"/>
        <item m="1" x="16"/>
        <item x="15"/>
        <item x="8"/>
        <item x="9"/>
        <item m="1" x="17"/>
        <item x="10"/>
        <item m="1" x="18"/>
        <item x="7"/>
        <item x="6"/>
        <item m="1" x="20"/>
        <item x="0"/>
        <item x="1"/>
        <item m="1" x="19"/>
        <item x="5"/>
        <item m="1" x="21"/>
        <item x="11"/>
        <item x="12"/>
        <item x="13"/>
        <item x="14"/>
        <item x="2"/>
        <item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compact="0" numFmtId="164" outline="0" showAll="0"/>
    <pivotField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/>
  </pivotFields>
  <rowFields count="2">
    <field x="3"/>
    <field x="-2"/>
  </rowFields>
  <rowItems count="119">
    <i>
      <x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0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t="grand">
      <x/>
    </i>
    <i t="grand" i="1">
      <x/>
    </i>
    <i t="grand" i="2">
      <x/>
    </i>
    <i t="grand" i="3">
      <x/>
    </i>
    <i t="grand" i="4">
      <x/>
    </i>
    <i t="grand" i="5">
      <x/>
    </i>
    <i t="grand" i="6">
      <x/>
    </i>
  </rowItems>
  <colFields count="1">
    <field x="0"/>
  </colFields>
  <colItems count="13"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 t="grand">
      <x/>
    </i>
  </colItems>
  <dataFields count="7">
    <dataField name="Sum of True-Up Charge" fld="8" baseField="0" baseItem="0"/>
    <dataField name="Sum of True-Up w/o Interest" fld="10" baseField="0" baseItem="0"/>
    <dataField name="Sum of Interest" fld="11" baseField="0" baseItem="0"/>
    <dataField name="Sum of Total True-up" fld="16" baseField="0" baseItem="0"/>
    <dataField name="Sum of Invoiced*** Charge (proj.)" fld="9" baseField="0" baseItem="0"/>
    <dataField name="Sum of Tax True Up Billing" fld="14" baseField="0" baseItem="0"/>
    <dataField name="Sum of Tax True Up" fld="15" baseField="0" baseItem="0"/>
  </dataFields>
  <formats count="171">
    <format dxfId="17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"/>
          </reference>
        </references>
      </pivotArea>
    </format>
    <format dxfId="16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2"/>
          </reference>
        </references>
      </pivotArea>
    </format>
    <format dxfId="16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3"/>
          </reference>
        </references>
      </pivotArea>
    </format>
    <format dxfId="16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4"/>
          </reference>
        </references>
      </pivotArea>
    </format>
    <format dxfId="164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5"/>
          </reference>
        </references>
      </pivotArea>
    </format>
    <format dxfId="163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6"/>
          </reference>
        </references>
      </pivotArea>
    </format>
    <format dxfId="162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7"/>
          </reference>
        </references>
      </pivotArea>
    </format>
    <format dxfId="161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8"/>
          </reference>
        </references>
      </pivotArea>
    </format>
    <format dxfId="16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9"/>
          </reference>
        </references>
      </pivotArea>
    </format>
    <format dxfId="15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0"/>
          </reference>
        </references>
      </pivotArea>
    </format>
    <format dxfId="15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1"/>
          </reference>
        </references>
      </pivotArea>
    </format>
    <format dxfId="15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2"/>
          </reference>
        </references>
      </pivotArea>
    </format>
    <format dxfId="15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3"/>
          </reference>
        </references>
      </pivotArea>
    </format>
    <format dxfId="15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4"/>
          </reference>
        </references>
      </pivotArea>
    </format>
    <format dxfId="154">
      <pivotArea field="3" grandRow="1" outline="0" axis="axisRow" fieldPosition="0">
        <references count="1">
          <reference field="4294967294" count="3" selected="0">
            <x v="1"/>
            <x v="2"/>
            <x v="3"/>
          </reference>
        </references>
      </pivotArea>
    </format>
    <format dxfId="153">
      <pivotArea outline="0" fieldPosition="0">
        <references count="3">
          <reference field="4294967294" count="1" selected="0">
            <x v="2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2">
      <pivotArea outline="0" fieldPosition="0">
        <references count="3">
          <reference field="4294967294" count="1" selected="0">
            <x v="3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1">
      <pivotArea grandRow="1" grandCol="1" outline="0" fieldPosition="0">
        <references count="1">
          <reference field="4294967294" count="5" selected="0">
            <x v="0"/>
            <x v="1"/>
            <x v="2"/>
            <x v="3"/>
            <x v="4"/>
          </reference>
        </references>
      </pivotArea>
    </format>
    <format dxfId="150">
      <pivotArea outline="0" fieldPosition="0"/>
    </format>
    <format dxfId="149">
      <pivotArea type="all" dataOnly="0" outline="0" fieldPosition="0"/>
    </format>
    <format dxfId="148">
      <pivotArea outline="0" fieldPosition="0"/>
    </format>
    <format dxfId="147">
      <pivotArea type="origin" dataOnly="0" labelOnly="1" outline="0" fieldPosition="0"/>
    </format>
    <format dxfId="146">
      <pivotArea field="0" type="button" dataOnly="0" labelOnly="1" outline="0" axis="axisCol" fieldPosition="0"/>
    </format>
    <format dxfId="145">
      <pivotArea type="topRight" dataOnly="0" labelOnly="1" outline="0" fieldPosition="0"/>
    </format>
    <format dxfId="144">
      <pivotArea field="3" type="button" dataOnly="0" labelOnly="1" outline="0" axis="axisRow" fieldPosition="0"/>
    </format>
    <format dxfId="143">
      <pivotArea field="-2" type="button" dataOnly="0" labelOnly="1" outline="0" axis="axisRow" fieldPosition="1"/>
    </format>
    <format dxfId="142">
      <pivotArea dataOnly="0" labelOnly="1" outline="0" fieldPosition="0">
        <references count="1">
          <reference field="3" count="0"/>
        </references>
      </pivotArea>
    </format>
    <format dxfId="14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4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3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3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3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3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7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26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25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24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23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2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1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0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9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8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7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16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15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14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13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2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1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0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9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8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7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0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0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0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0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9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9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9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9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9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9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9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9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8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8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8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8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8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8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8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8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7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7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7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76">
      <pivotArea dataOnly="0" labelOnly="1" outline="0" fieldPosition="0">
        <references count="1">
          <reference field="0" count="0"/>
        </references>
      </pivotArea>
    </format>
    <format dxfId="75">
      <pivotArea dataOnly="0" labelOnly="1" grandCol="1" outline="0" fieldPosition="0"/>
    </format>
    <format dxfId="74">
      <pivotArea type="all" dataOnly="0" outline="0" fieldPosition="0"/>
    </format>
    <format dxfId="73">
      <pivotArea outline="0" fieldPosition="0"/>
    </format>
    <format dxfId="72">
      <pivotArea type="origin" dataOnly="0" labelOnly="1" outline="0" fieldPosition="0"/>
    </format>
    <format dxfId="71">
      <pivotArea field="0" type="button" dataOnly="0" labelOnly="1" outline="0" axis="axisCol" fieldPosition="0"/>
    </format>
    <format dxfId="70">
      <pivotArea type="topRight" dataOnly="0" labelOnly="1" outline="0" fieldPosition="0"/>
    </format>
    <format dxfId="69">
      <pivotArea field="3" type="button" dataOnly="0" labelOnly="1" outline="0" axis="axisRow" fieldPosition="0"/>
    </format>
    <format dxfId="68">
      <pivotArea field="-2" type="button" dataOnly="0" labelOnly="1" outline="0" axis="axisRow" fieldPosition="1"/>
    </format>
    <format dxfId="67">
      <pivotArea dataOnly="0" labelOnly="1" outline="0" fieldPosition="0">
        <references count="1">
          <reference field="3" count="0"/>
        </references>
      </pivotArea>
    </format>
    <format dxfId="6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6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6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6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6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6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6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5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5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5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5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2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1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0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9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8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7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46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45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44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43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2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1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0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9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8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7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36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35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34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33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2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2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2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2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2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1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1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1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1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1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1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1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1">
      <pivotArea dataOnly="0" labelOnly="1" outline="0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7"/>
  <sheetViews>
    <sheetView workbookViewId="0">
      <selection activeCell="J24" sqref="J24"/>
    </sheetView>
  </sheetViews>
  <sheetFormatPr defaultColWidth="8.7265625" defaultRowHeight="12.5" x14ac:dyDescent="0.25"/>
  <cols>
    <col min="1" max="16384" width="8.7265625" style="1"/>
  </cols>
  <sheetData>
    <row r="1" spans="1:2" x14ac:dyDescent="0.25">
      <c r="A1" s="1" t="s">
        <v>64</v>
      </c>
    </row>
    <row r="3" spans="1:2" x14ac:dyDescent="0.25">
      <c r="A3" s="2">
        <v>1</v>
      </c>
      <c r="B3" s="3" t="s">
        <v>66</v>
      </c>
    </row>
    <row r="4" spans="1:2" ht="13" x14ac:dyDescent="0.3">
      <c r="A4" s="2">
        <v>2</v>
      </c>
      <c r="B4" s="3" t="s">
        <v>65</v>
      </c>
    </row>
    <row r="5" spans="1:2" ht="13" x14ac:dyDescent="0.3">
      <c r="A5" s="2">
        <v>3</v>
      </c>
      <c r="B5" s="3" t="s">
        <v>67</v>
      </c>
    </row>
    <row r="6" spans="1:2" ht="13" x14ac:dyDescent="0.3">
      <c r="A6" s="2">
        <v>4</v>
      </c>
      <c r="B6" s="4" t="s">
        <v>81</v>
      </c>
    </row>
    <row r="7" spans="1:2" x14ac:dyDescent="0.25">
      <c r="A7" s="2">
        <v>5</v>
      </c>
      <c r="B7" s="3" t="s">
        <v>68</v>
      </c>
    </row>
    <row r="8" spans="1:2" x14ac:dyDescent="0.25">
      <c r="A8" s="2">
        <v>6</v>
      </c>
      <c r="B8" s="3" t="s">
        <v>69</v>
      </c>
    </row>
    <row r="9" spans="1:2" x14ac:dyDescent="0.25">
      <c r="A9" s="2">
        <v>7</v>
      </c>
      <c r="B9" s="5" t="s">
        <v>70</v>
      </c>
    </row>
    <row r="10" spans="1:2" ht="13" x14ac:dyDescent="0.3">
      <c r="A10" s="2">
        <v>8</v>
      </c>
      <c r="B10" s="3" t="s">
        <v>73</v>
      </c>
    </row>
    <row r="11" spans="1:2" x14ac:dyDescent="0.25">
      <c r="A11" s="2"/>
      <c r="B11" s="3" t="s">
        <v>74</v>
      </c>
    </row>
    <row r="12" spans="1:2" x14ac:dyDescent="0.25">
      <c r="A12" s="2"/>
      <c r="B12" s="5" t="s">
        <v>75</v>
      </c>
    </row>
    <row r="13" spans="1:2" x14ac:dyDescent="0.25">
      <c r="A13" s="2"/>
      <c r="B13" s="5" t="s">
        <v>76</v>
      </c>
    </row>
    <row r="14" spans="1:2" x14ac:dyDescent="0.25">
      <c r="A14" s="2">
        <v>9</v>
      </c>
      <c r="B14" s="3" t="s">
        <v>77</v>
      </c>
    </row>
    <row r="15" spans="1:2" x14ac:dyDescent="0.25">
      <c r="A15" s="2">
        <v>10</v>
      </c>
      <c r="B15" s="3" t="s">
        <v>79</v>
      </c>
    </row>
    <row r="16" spans="1:2" x14ac:dyDescent="0.25">
      <c r="A16" s="2">
        <v>11</v>
      </c>
      <c r="B16" s="3" t="s">
        <v>80</v>
      </c>
    </row>
    <row r="17" spans="1:1" x14ac:dyDescent="0.25">
      <c r="A17" s="2"/>
    </row>
  </sheetData>
  <phoneticPr fontId="6" type="noConversion"/>
  <pageMargins left="0.75" right="0.75" top="1" bottom="1" header="0.5" footer="0.5"/>
  <pageSetup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44"/>
  <sheetViews>
    <sheetView tabSelected="1" zoomScale="85" zoomScaleNormal="85" zoomScaleSheetLayoutView="100" workbookViewId="0">
      <selection activeCell="G21" sqref="G21"/>
    </sheetView>
  </sheetViews>
  <sheetFormatPr defaultColWidth="33.26953125" defaultRowHeight="12.5" x14ac:dyDescent="0.25"/>
  <cols>
    <col min="1" max="1" width="9.1796875" style="1" customWidth="1"/>
    <col min="2" max="2" width="14" style="1" customWidth="1"/>
    <col min="3" max="3" width="21.81640625" style="1" customWidth="1"/>
    <col min="4" max="4" width="15.54296875" style="1" customWidth="1"/>
    <col min="5" max="14" width="14" style="1" customWidth="1"/>
    <col min="15" max="15" width="15" style="1" customWidth="1"/>
    <col min="16" max="108" width="31.7265625" style="1" customWidth="1"/>
    <col min="109" max="109" width="11.453125" style="1" customWidth="1"/>
    <col min="110" max="16384" width="33.26953125" style="1"/>
  </cols>
  <sheetData>
    <row r="1" spans="2:17" ht="13" x14ac:dyDescent="0.3">
      <c r="C1" s="237" t="str">
        <f>+Transactions!B1</f>
        <v>AEPTCo Formula Rate -- FERC Docket ER18-194</v>
      </c>
      <c r="D1" s="237"/>
      <c r="E1" s="237"/>
      <c r="F1" s="237"/>
      <c r="G1" s="237"/>
      <c r="H1" s="237"/>
      <c r="I1" s="237"/>
      <c r="J1" s="6">
        <v>2023</v>
      </c>
    </row>
    <row r="2" spans="2:17" ht="13" x14ac:dyDescent="0.3">
      <c r="C2" s="237" t="s">
        <v>98</v>
      </c>
      <c r="D2" s="237"/>
      <c r="E2" s="237"/>
      <c r="F2" s="237"/>
      <c r="G2" s="237"/>
      <c r="H2" s="237"/>
      <c r="I2" s="237"/>
    </row>
    <row r="3" spans="2:17" ht="13" x14ac:dyDescent="0.3">
      <c r="C3" s="237" t="str">
        <f>"for period 01/01/"&amp;F8&amp;" - 12/31/"&amp;F8</f>
        <v>for period 01/01/2023 - 12/31/2023</v>
      </c>
      <c r="D3" s="237"/>
      <c r="E3" s="237"/>
      <c r="F3" s="237"/>
      <c r="G3" s="237"/>
      <c r="H3" s="237"/>
      <c r="I3" s="237"/>
    </row>
    <row r="4" spans="2:17" ht="13" x14ac:dyDescent="0.3">
      <c r="C4" s="237" t="s">
        <v>84</v>
      </c>
      <c r="D4" s="237"/>
      <c r="E4" s="237"/>
      <c r="F4" s="237"/>
      <c r="G4" s="237"/>
      <c r="H4" s="237"/>
      <c r="I4" s="237"/>
    </row>
    <row r="5" spans="2:17" x14ac:dyDescent="0.25">
      <c r="C5" s="7" t="str">
        <f>"Prepared:  May 24_, "&amp;J1&amp;""</f>
        <v>Prepared:  May 24_, 2023</v>
      </c>
      <c r="D5" s="8"/>
    </row>
    <row r="6" spans="2:17" x14ac:dyDescent="0.25">
      <c r="C6" s="9"/>
    </row>
    <row r="7" spans="2:17" ht="13" x14ac:dyDescent="0.3">
      <c r="C7" s="10"/>
    </row>
    <row r="8" spans="2:17" ht="27.75" customHeight="1" thickBot="1" x14ac:dyDescent="0.3">
      <c r="F8" s="11">
        <v>2023</v>
      </c>
    </row>
    <row r="9" spans="2:17" ht="20.25" customHeight="1" x14ac:dyDescent="0.3">
      <c r="E9" s="12" t="s">
        <v>96</v>
      </c>
      <c r="F9" s="13"/>
      <c r="G9" s="14"/>
      <c r="H9" s="15"/>
      <c r="J9" s="2"/>
    </row>
    <row r="10" spans="2:17" ht="42" customHeight="1" thickBot="1" x14ac:dyDescent="0.3">
      <c r="B10" s="16"/>
      <c r="E10" s="17" t="str">
        <f>"(per "&amp;$F8&amp;" Projections "&amp;$F8&amp;")"</f>
        <v>(per 2023 Projections 2023)</v>
      </c>
      <c r="F10" s="18" t="str">
        <f>"(per "&amp;F8+1&amp;" Update of May "&amp;F8+1&amp;")"</f>
        <v>(per 2024 Update of May 2024)</v>
      </c>
      <c r="G10" s="19"/>
      <c r="H10" s="20"/>
    </row>
    <row r="11" spans="2:17" ht="21.75" customHeight="1" x14ac:dyDescent="0.25">
      <c r="B11" s="21"/>
      <c r="C11" s="22" t="s">
        <v>38</v>
      </c>
      <c r="D11" s="23" t="s">
        <v>36</v>
      </c>
      <c r="E11" s="24">
        <f>Transactions!K2</f>
        <v>609808.88189255004</v>
      </c>
      <c r="F11" s="25"/>
      <c r="G11" s="26"/>
      <c r="H11" s="27"/>
    </row>
    <row r="12" spans="2:17" ht="21.75" customHeight="1" x14ac:dyDescent="0.25">
      <c r="B12" s="21"/>
      <c r="C12" s="28"/>
      <c r="D12" s="29" t="s">
        <v>42</v>
      </c>
      <c r="E12" s="30"/>
      <c r="F12" s="31">
        <f>+Transactions!J2</f>
        <v>581887.54934220016</v>
      </c>
      <c r="G12" s="32"/>
      <c r="H12" s="33"/>
    </row>
    <row r="13" spans="2:17" ht="21.75" customHeight="1" x14ac:dyDescent="0.25">
      <c r="B13" s="34"/>
      <c r="C13" s="35" t="s">
        <v>39</v>
      </c>
      <c r="D13" s="36" t="s">
        <v>37</v>
      </c>
      <c r="E13" s="37">
        <f>Transactions!K3</f>
        <v>5.5726951227524033</v>
      </c>
      <c r="F13" s="33"/>
      <c r="G13" s="38"/>
      <c r="H13" s="39"/>
    </row>
    <row r="14" spans="2:17" ht="21.75" customHeight="1" thickBot="1" x14ac:dyDescent="0.3">
      <c r="B14" s="16"/>
      <c r="C14" s="40"/>
      <c r="D14" s="41" t="s">
        <v>41</v>
      </c>
      <c r="E14" s="42"/>
      <c r="F14" s="43">
        <f>+Transactions!J3</f>
        <v>5.6947303713270712</v>
      </c>
      <c r="G14" s="44"/>
      <c r="H14" s="33"/>
    </row>
    <row r="15" spans="2:17" x14ac:dyDescent="0.25">
      <c r="B15" s="21"/>
      <c r="E15" s="45"/>
    </row>
    <row r="16" spans="2:17" ht="13" x14ac:dyDescent="0.3">
      <c r="B16" s="34"/>
      <c r="C16" s="34"/>
      <c r="D16" s="46"/>
      <c r="E16" s="34"/>
      <c r="F16" s="47"/>
      <c r="G16" s="48"/>
      <c r="H16" s="48"/>
      <c r="J16" s="45"/>
      <c r="L16" s="50"/>
      <c r="M16" s="51"/>
      <c r="N16" s="51"/>
      <c r="O16" s="51"/>
      <c r="P16" s="51"/>
      <c r="Q16" s="51"/>
    </row>
    <row r="17" spans="2:17" ht="13" x14ac:dyDescent="0.3">
      <c r="C17" s="10"/>
      <c r="L17" s="52"/>
      <c r="M17" s="51"/>
      <c r="N17" s="51"/>
      <c r="O17" s="51"/>
      <c r="P17" s="51"/>
      <c r="Q17" s="51"/>
    </row>
    <row r="18" spans="2:17" x14ac:dyDescent="0.25">
      <c r="C18" s="50"/>
      <c r="D18" s="50"/>
      <c r="E18" s="50"/>
      <c r="F18" s="50"/>
      <c r="G18" s="50"/>
      <c r="H18" s="50"/>
      <c r="I18" s="50"/>
      <c r="L18" s="50"/>
      <c r="M18" s="51"/>
      <c r="N18" s="51"/>
      <c r="O18" s="51"/>
      <c r="P18" s="51"/>
      <c r="Q18" s="51"/>
    </row>
    <row r="19" spans="2:17" ht="21" customHeight="1" thickBot="1" x14ac:dyDescent="0.3">
      <c r="C19" s="53" t="s">
        <v>31</v>
      </c>
      <c r="D19" s="53" t="s">
        <v>32</v>
      </c>
      <c r="E19" s="54" t="s">
        <v>33</v>
      </c>
      <c r="F19" s="54" t="s">
        <v>34</v>
      </c>
      <c r="G19" s="53" t="s">
        <v>35</v>
      </c>
      <c r="H19" s="53" t="s">
        <v>95</v>
      </c>
      <c r="I19" s="54" t="s">
        <v>94</v>
      </c>
      <c r="L19" s="50"/>
      <c r="M19" s="51"/>
      <c r="N19" s="51"/>
      <c r="O19" s="51"/>
      <c r="P19" s="51"/>
      <c r="Q19" s="51"/>
    </row>
    <row r="20" spans="2:17" ht="53.25" customHeight="1" x14ac:dyDescent="0.25">
      <c r="C20" s="55" t="s">
        <v>51</v>
      </c>
      <c r="D20" s="56" t="str">
        <f>"Actual Charge
("&amp;F8&amp;" True-Up)"</f>
        <v>Actual Charge
(2023 True-Up)</v>
      </c>
      <c r="E20" s="57" t="str">
        <f>"Invoiced for
CY"&amp;F8&amp;" Transmission Service"</f>
        <v>Invoiced for
CY2023 Transmission Service</v>
      </c>
      <c r="F20" s="56" t="s">
        <v>40</v>
      </c>
      <c r="G20" s="58" t="s">
        <v>7</v>
      </c>
      <c r="H20" s="58" t="s">
        <v>89</v>
      </c>
      <c r="I20" s="59" t="s">
        <v>45</v>
      </c>
      <c r="L20" s="50"/>
      <c r="M20" s="51"/>
      <c r="N20" s="51"/>
      <c r="O20" s="51"/>
      <c r="P20" s="51"/>
      <c r="Q20" s="51"/>
    </row>
    <row r="21" spans="2:17" x14ac:dyDescent="0.25">
      <c r="B21" s="60"/>
      <c r="C21" s="61" t="s">
        <v>14</v>
      </c>
      <c r="D21" s="62">
        <f>GETPIVOTDATA("Sum of "&amp;T(Transactions!$J$19),Pivot!$A$3,"Customer",C21)</f>
        <v>54413.148698030163</v>
      </c>
      <c r="E21" s="62">
        <f>GETPIVOTDATA("Sum of "&amp;T(Transactions!$K$19),Pivot!$A$3,"Customer",C21)</f>
        <v>53247.101897899214</v>
      </c>
      <c r="F21" s="62">
        <f>D21-E21</f>
        <v>1166.0468001309491</v>
      </c>
      <c r="G21" s="51">
        <f>+GETPIVOTDATA("Sum of "&amp;T(Transactions!$M$19),Pivot!$A$3,"Customer","AECC")</f>
        <v>95.655806392740374</v>
      </c>
      <c r="H21" s="51">
        <f>GETPIVOTDATA("Sum of "&amp;T(Transactions!$Q$19),Pivot!$A$3,"Customer","AECC")</f>
        <v>0</v>
      </c>
      <c r="I21" s="63">
        <f>F21+G21-H21</f>
        <v>1261.7026065236896</v>
      </c>
      <c r="J21" s="60"/>
      <c r="L21" s="50"/>
      <c r="M21" s="51"/>
      <c r="N21" s="51"/>
      <c r="O21" s="51"/>
      <c r="P21" s="51"/>
      <c r="Q21" s="51"/>
    </row>
    <row r="22" spans="2:17" x14ac:dyDescent="0.25">
      <c r="B22" s="60"/>
      <c r="C22" s="64" t="s">
        <v>86</v>
      </c>
      <c r="D22" s="62">
        <f>GETPIVOTDATA("Sum of "&amp;T(Transactions!$J$19),Pivot!$A$3,"Customer",C22)</f>
        <v>2989.7334449467126</v>
      </c>
      <c r="E22" s="62">
        <f>GETPIVOTDATA("Sum of "&amp;T(Transactions!$K$19),Pivot!$A$3,"Customer",C22)</f>
        <v>2925.6649394450114</v>
      </c>
      <c r="F22" s="62">
        <f>D22-E22</f>
        <v>64.068505501701111</v>
      </c>
      <c r="G22" s="51">
        <f>+GETPIVOTDATA("Sum of "&amp;T(Transactions!$M$19),Pivot!$A$3,"Customer","AECI")</f>
        <v>5.2558135380626574</v>
      </c>
      <c r="H22" s="51">
        <f>GETPIVOTDATA("Sum of "&amp;T(Transactions!$Q$19),Pivot!$A$3,"Customer",C22)</f>
        <v>0</v>
      </c>
      <c r="I22" s="63">
        <f t="shared" ref="I22:I33" si="0">F22+G22-H22</f>
        <v>69.324319039763765</v>
      </c>
      <c r="J22" s="60"/>
      <c r="L22" s="50"/>
      <c r="M22" s="51"/>
      <c r="N22" s="51"/>
      <c r="O22" s="51"/>
      <c r="P22" s="51"/>
      <c r="Q22" s="51"/>
    </row>
    <row r="23" spans="2:17" x14ac:dyDescent="0.25">
      <c r="B23" s="60"/>
      <c r="C23" s="64" t="s">
        <v>55</v>
      </c>
      <c r="D23" s="62">
        <f>GETPIVOTDATA("Sum of "&amp;T(Transactions!$J$19),Pivot!$A$3,"Customer",C23)</f>
        <v>8638.9059733031681</v>
      </c>
      <c r="E23" s="62">
        <f>GETPIVOTDATA("Sum of "&amp;T(Transactions!$K$19),Pivot!$A$3,"Customer",C23)</f>
        <v>8453.7785012153963</v>
      </c>
      <c r="F23" s="62">
        <f t="shared" ref="F23:F35" si="1">D23-E23</f>
        <v>185.12747208777182</v>
      </c>
      <c r="G23" s="51">
        <f>+GETPIVOTDATA("Sum of "&amp;T(Transactions!$M$19),Pivot!$A$3,"Customer","Bentonville, AR")</f>
        <v>15.186798356649623</v>
      </c>
      <c r="H23" s="51">
        <f>GETPIVOTDATA("Sum of "&amp;T(Transactions!$Q$19),Pivot!$A$3,"Customer",C23)</f>
        <v>0</v>
      </c>
      <c r="I23" s="63">
        <f t="shared" si="0"/>
        <v>200.31427044442145</v>
      </c>
      <c r="J23" s="60"/>
      <c r="L23" s="50"/>
      <c r="M23" s="51"/>
      <c r="N23" s="51"/>
      <c r="O23" s="51"/>
      <c r="P23" s="51"/>
      <c r="Q23" s="51"/>
    </row>
    <row r="24" spans="2:17" x14ac:dyDescent="0.25">
      <c r="B24" s="60"/>
      <c r="C24" s="61" t="s">
        <v>17</v>
      </c>
      <c r="D24" s="62">
        <f>GETPIVOTDATA("Sum of "&amp;T(Transactions!$J$19),Pivot!$A$3,"Customer",C24)</f>
        <v>7260.7812234420144</v>
      </c>
      <c r="E24" s="62">
        <f>GETPIVOTDATA("Sum of "&amp;T(Transactions!$K$19),Pivot!$A$3,"Customer",C24)</f>
        <v>7105.1862815093136</v>
      </c>
      <c r="F24" s="62">
        <f t="shared" si="1"/>
        <v>155.59494193270075</v>
      </c>
      <c r="G24" s="51">
        <f>+GETPIVOTDATA("Sum of "&amp;T(Transactions!$M$19),Pivot!$A$3,"Customer","Coffeyville, KS")</f>
        <v>12.764118592437882</v>
      </c>
      <c r="H24" s="51">
        <f>GETPIVOTDATA("Sum of "&amp;T(Transactions!$Q$19),Pivot!$A$3,"Customer",C24)</f>
        <v>0</v>
      </c>
      <c r="I24" s="63">
        <f t="shared" si="0"/>
        <v>168.35906052513863</v>
      </c>
      <c r="J24" s="60"/>
      <c r="L24" s="50"/>
      <c r="M24" s="51"/>
      <c r="N24" s="51"/>
      <c r="O24" s="51"/>
      <c r="P24" s="51"/>
      <c r="Q24" s="51"/>
    </row>
    <row r="25" spans="2:17" x14ac:dyDescent="0.25">
      <c r="B25" s="60"/>
      <c r="C25" s="64" t="s">
        <v>13</v>
      </c>
      <c r="D25" s="62">
        <f>GETPIVOTDATA("Sum of "&amp;T(Transactions!$J$19),Pivot!$A$3,"Customer",C25)</f>
        <v>59322.006278114102</v>
      </c>
      <c r="E25" s="62">
        <f>GETPIVOTDATA("Sum of "&amp;T(Transactions!$K$19),Pivot!$A$3,"Customer",C25)</f>
        <v>58050.765093711794</v>
      </c>
      <c r="F25" s="62">
        <f t="shared" si="1"/>
        <v>1271.2411844023081</v>
      </c>
      <c r="G25" s="51">
        <f>+GETPIVOTDATA("Sum of "&amp;T(Transactions!$M$19),Pivot!$A$3,"Customer","ETEC")</f>
        <v>104.28535166856896</v>
      </c>
      <c r="H25" s="51">
        <f>GETPIVOTDATA("Sum of "&amp;T(Transactions!$Q$19),Pivot!$A$3,"Customer",C25)</f>
        <v>0</v>
      </c>
      <c r="I25" s="63">
        <f t="shared" si="0"/>
        <v>1375.526536070877</v>
      </c>
      <c r="J25" s="60"/>
      <c r="L25" s="52"/>
      <c r="M25" s="51"/>
      <c r="N25" s="51"/>
      <c r="O25" s="51"/>
      <c r="P25" s="51"/>
      <c r="Q25" s="51"/>
    </row>
    <row r="26" spans="2:17" x14ac:dyDescent="0.25">
      <c r="B26" s="60"/>
      <c r="C26" s="61" t="s">
        <v>15</v>
      </c>
      <c r="D26" s="62">
        <f>GETPIVOTDATA("Sum of "&amp;T(Transactions!$J$19),Pivot!$A$3,"Customer",C26)</f>
        <v>615.03088010332363</v>
      </c>
      <c r="E26" s="62">
        <f>GETPIVOTDATA("Sum of "&amp;T(Transactions!$K$19),Pivot!$A$3,"Customer",C26)</f>
        <v>601.8510732572596</v>
      </c>
      <c r="F26" s="62">
        <f t="shared" si="1"/>
        <v>13.179806846064025</v>
      </c>
      <c r="G26" s="51">
        <f>+GETPIVOTDATA("Sum of "&amp;T(Transactions!$M$19),Pivot!$A$3,"Customer","Greenbelt")</f>
        <v>1.0811959278300323</v>
      </c>
      <c r="H26" s="51">
        <f>GETPIVOTDATA("Sum of "&amp;T(Transactions!$Q$19),Pivot!$A$3,"Customer",C26)</f>
        <v>0</v>
      </c>
      <c r="I26" s="63">
        <f t="shared" si="0"/>
        <v>14.261002773894058</v>
      </c>
      <c r="J26" s="60"/>
      <c r="K26" s="65"/>
      <c r="L26" s="65"/>
      <c r="M26" s="65"/>
      <c r="N26" s="65"/>
      <c r="O26" s="51"/>
      <c r="P26" s="51"/>
      <c r="Q26" s="51"/>
    </row>
    <row r="27" spans="2:17" x14ac:dyDescent="0.25">
      <c r="B27" s="60"/>
      <c r="C27" s="61" t="s">
        <v>58</v>
      </c>
      <c r="D27" s="62">
        <f>GETPIVOTDATA("Sum of "&amp;T(Transactions!$J$19),Pivot!$A$3,"Customer",C27)</f>
        <v>2596.7970493251446</v>
      </c>
      <c r="E27" s="62">
        <f>GETPIVOTDATA("Sum of "&amp;T(Transactions!$K$19),Pivot!$A$3,"Customer",C27)</f>
        <v>2541.1489759750957</v>
      </c>
      <c r="F27" s="62">
        <f t="shared" si="1"/>
        <v>55.64807335004889</v>
      </c>
      <c r="G27" s="51">
        <f>+GETPIVOTDATA("Sum of "&amp;T(Transactions!$M$19),Pivot!$A$3,"Customer","Hope, AR")</f>
        <v>4.5650494730601361</v>
      </c>
      <c r="H27" s="51">
        <f>GETPIVOTDATA("Sum of "&amp;T(Transactions!$Q$19),Pivot!$A$3,"Customer",C27)</f>
        <v>0</v>
      </c>
      <c r="I27" s="63">
        <f t="shared" si="0"/>
        <v>60.213122823109025</v>
      </c>
      <c r="J27" s="60"/>
      <c r="K27" s="65"/>
      <c r="L27" s="65"/>
      <c r="M27" s="65"/>
      <c r="N27" s="65"/>
      <c r="O27" s="51"/>
      <c r="P27" s="51"/>
      <c r="Q27" s="51"/>
    </row>
    <row r="28" spans="2:17" x14ac:dyDescent="0.25">
      <c r="B28" s="60"/>
      <c r="C28" s="61" t="s">
        <v>16</v>
      </c>
      <c r="D28" s="62">
        <f>GETPIVOTDATA("Sum of "&amp;T(Transactions!$J$19),Pivot!$A$3,"Customer",C28)</f>
        <v>318.90490079431595</v>
      </c>
      <c r="E28" s="62">
        <f>GETPIVOTDATA("Sum of "&amp;T(Transactions!$K$19),Pivot!$A$3,"Customer",C28)</f>
        <v>312.07092687413456</v>
      </c>
      <c r="F28" s="62">
        <f t="shared" si="1"/>
        <v>6.8339739201813927</v>
      </c>
      <c r="G28" s="51">
        <f>+GETPIVOTDATA("Sum of "&amp;T(Transactions!$M$19),Pivot!$A$3,"Customer","Lighthouse")</f>
        <v>0.5606201107266835</v>
      </c>
      <c r="H28" s="51">
        <f>GETPIVOTDATA("Sum of "&amp;T(Transactions!$Q$19),Pivot!$A$3,"Customer",C28)</f>
        <v>0</v>
      </c>
      <c r="I28" s="63">
        <f t="shared" si="0"/>
        <v>7.3945940309080758</v>
      </c>
      <c r="J28" s="60"/>
      <c r="L28" s="50"/>
      <c r="M28" s="51"/>
      <c r="N28" s="51"/>
      <c r="O28" s="51"/>
      <c r="P28" s="51"/>
      <c r="Q28" s="51"/>
    </row>
    <row r="29" spans="2:17" x14ac:dyDescent="0.25">
      <c r="B29" s="60"/>
      <c r="C29" s="64" t="s">
        <v>57</v>
      </c>
      <c r="D29" s="62">
        <f>GETPIVOTDATA("Sum of "&amp;T(Transactions!$J$19),Pivot!$A$3,"Customer",C29)</f>
        <v>1884.9557529092604</v>
      </c>
      <c r="E29" s="62">
        <f>GETPIVOTDATA("Sum of "&amp;T(Transactions!$K$19),Pivot!$A$3,"Customer",C29)</f>
        <v>1844.5620856310452</v>
      </c>
      <c r="F29" s="62">
        <f t="shared" si="1"/>
        <v>40.393667278215162</v>
      </c>
      <c r="G29" s="51">
        <f>+GETPIVOTDATA("Sum of "&amp;T(Transactions!$M$19),Pivot!$A$3,"Customer","Minden, LA")</f>
        <v>3.3136652973309322</v>
      </c>
      <c r="H29" s="51">
        <f>GETPIVOTDATA("Sum of "&amp;T(Transactions!$Q$19),Pivot!$A$3,"Customer",C29)</f>
        <v>0</v>
      </c>
      <c r="I29" s="63">
        <f t="shared" si="0"/>
        <v>43.707332575546097</v>
      </c>
      <c r="J29" s="60"/>
      <c r="L29" s="50"/>
      <c r="M29" s="51"/>
      <c r="N29" s="51"/>
      <c r="O29" s="51"/>
      <c r="P29" s="51"/>
      <c r="Q29" s="51"/>
    </row>
    <row r="30" spans="2:17" x14ac:dyDescent="0.25">
      <c r="B30" s="60"/>
      <c r="C30" s="64" t="s">
        <v>19</v>
      </c>
      <c r="D30" s="62">
        <f>GETPIVOTDATA("Sum of "&amp;T(Transactions!$J$19),Pivot!$A$3,"Customer",C30)</f>
        <v>4214.1004747820325</v>
      </c>
      <c r="E30" s="62">
        <f>GETPIVOTDATA("Sum of "&amp;T(Transactions!$K$19),Pivot!$A$3,"Customer",C30)</f>
        <v>4123.7943908367788</v>
      </c>
      <c r="F30" s="62">
        <f t="shared" si="1"/>
        <v>90.306083945253704</v>
      </c>
      <c r="G30" s="51">
        <f>+GETPIVOTDATA("Sum of "&amp;T(Transactions!$M$19),Pivot!$A$3,"Customer","OG&amp;E")</f>
        <v>7.4081943203168885</v>
      </c>
      <c r="H30" s="51">
        <f>GETPIVOTDATA("Sum of "&amp;T(Transactions!$Q$19),Pivot!$A$3,"Customer",C30)</f>
        <v>0</v>
      </c>
      <c r="I30" s="63">
        <f t="shared" si="0"/>
        <v>97.714278265570599</v>
      </c>
      <c r="J30" s="60"/>
    </row>
    <row r="31" spans="2:17" x14ac:dyDescent="0.25">
      <c r="B31" s="60"/>
      <c r="C31" s="61" t="s">
        <v>8</v>
      </c>
      <c r="D31" s="62">
        <f>GETPIVOTDATA("Sum of "&amp;T(Transactions!$J$19),Pivot!$A$3,"Customer",C31)</f>
        <v>7226.6128412140542</v>
      </c>
      <c r="E31" s="62">
        <f>GETPIVOTDATA("Sum of "&amp;T(Transactions!$K$19),Pivot!$A$3,"Customer",C31)</f>
        <v>7071.7501107728003</v>
      </c>
      <c r="F31" s="62">
        <f t="shared" si="1"/>
        <v>154.86273044125392</v>
      </c>
      <c r="G31" s="51">
        <f>+GETPIVOTDATA("Sum of "&amp;T(Transactions!$M$19),Pivot!$A$3,"Customer","OMPA")</f>
        <v>12.704052152002882</v>
      </c>
      <c r="H31" s="51">
        <f>GETPIVOTDATA("Sum of "&amp;T(Transactions!$Q$19),Pivot!$A$3,"Customer",C31)</f>
        <v>0</v>
      </c>
      <c r="I31" s="63">
        <f t="shared" si="0"/>
        <v>167.56678259325679</v>
      </c>
      <c r="J31" s="60"/>
    </row>
    <row r="32" spans="2:17" x14ac:dyDescent="0.25">
      <c r="B32" s="60"/>
      <c r="C32" s="61" t="s">
        <v>56</v>
      </c>
      <c r="D32" s="62">
        <f>GETPIVOTDATA("Sum of "&amp;T(Transactions!$J$19),Pivot!$A$3,"Customer",C32)</f>
        <v>689.06237493057552</v>
      </c>
      <c r="E32" s="62">
        <f>GETPIVOTDATA("Sum of "&amp;T(Transactions!$K$19),Pivot!$A$3,"Customer",C32)</f>
        <v>674.29610985304089</v>
      </c>
      <c r="F32" s="62">
        <f t="shared" si="1"/>
        <v>14.766265077534626</v>
      </c>
      <c r="G32" s="51">
        <f>+GETPIVOTDATA("Sum of "&amp;T(Transactions!$M$19),Pivot!$A$3,"Customer","Prescott, AR")</f>
        <v>1.2113398821058694</v>
      </c>
      <c r="H32" s="51">
        <f>GETPIVOTDATA("Sum of "&amp;T(Transactions!$Q$19),Pivot!$A$3,"Customer",C32)</f>
        <v>0</v>
      </c>
      <c r="I32" s="63">
        <f t="shared" si="0"/>
        <v>15.977604959640496</v>
      </c>
      <c r="J32" s="60"/>
    </row>
    <row r="33" spans="2:11" x14ac:dyDescent="0.25">
      <c r="B33" s="60"/>
      <c r="C33" s="66" t="s">
        <v>9</v>
      </c>
      <c r="D33" s="62">
        <f>GETPIVOTDATA("Sum of "&amp;T(Transactions!$J$19),Pivot!$A$3,"Customer",C33)</f>
        <v>3507.9539087374756</v>
      </c>
      <c r="E33" s="62">
        <f>GETPIVOTDATA("Sum of "&amp;T(Transactions!$K$19),Pivot!$A$3,"Customer",C33)</f>
        <v>3432.7801956154808</v>
      </c>
      <c r="F33" s="62">
        <f t="shared" si="1"/>
        <v>75.173713121994751</v>
      </c>
      <c r="G33" s="51">
        <f>+GETPIVOTDATA("Sum of "&amp;T(Transactions!$M$19),Pivot!$A$3,"Customer","WFEC")</f>
        <v>6.166821217993518</v>
      </c>
      <c r="H33" s="51">
        <f>GETPIVOTDATA("Sum of "&amp;T(Transactions!$Q$19),Pivot!$A$3,"Customer",C33)</f>
        <v>0</v>
      </c>
      <c r="I33" s="63">
        <f t="shared" si="0"/>
        <v>81.340534339988267</v>
      </c>
      <c r="J33" s="60"/>
    </row>
    <row r="34" spans="2:11" ht="23" x14ac:dyDescent="0.25">
      <c r="C34" s="67" t="s">
        <v>43</v>
      </c>
      <c r="D34" s="68">
        <f t="shared" ref="D34:I34" si="2">SUM(D21:D33)</f>
        <v>153677.99380063234</v>
      </c>
      <c r="E34" s="68">
        <f t="shared" si="2"/>
        <v>150384.7505825964</v>
      </c>
      <c r="F34" s="68">
        <f t="shared" si="2"/>
        <v>3293.2432180359774</v>
      </c>
      <c r="G34" s="69">
        <f t="shared" si="2"/>
        <v>270.15882692982643</v>
      </c>
      <c r="H34" s="69">
        <f t="shared" si="2"/>
        <v>0</v>
      </c>
      <c r="I34" s="70">
        <f t="shared" si="2"/>
        <v>3563.4020449658037</v>
      </c>
    </row>
    <row r="35" spans="2:11" x14ac:dyDescent="0.25">
      <c r="C35" s="71" t="s">
        <v>21</v>
      </c>
      <c r="D35" s="62">
        <f>GETPIVOTDATA("Sum of "&amp;T(Transactions!$J$19),Pivot!$A$3,"Customer",C35)</f>
        <v>216707.26955048036</v>
      </c>
      <c r="E35" s="62">
        <f>GETPIVOTDATA("Sum of "&amp;T(Transactions!$K$19),Pivot!$A$3,"Customer",C35)</f>
        <v>212063.34020121995</v>
      </c>
      <c r="F35" s="62">
        <f t="shared" si="1"/>
        <v>4643.9293492604047</v>
      </c>
      <c r="G35" s="51">
        <f>+GETPIVOTDATA("Sum of "&amp;T(Transactions!$M$19),Pivot!$A$3,"Customer","PSO")</f>
        <v>380.96138738559307</v>
      </c>
      <c r="H35" s="51">
        <f>GETPIVOTDATA("Sum of "&amp;T(Transactions!$Q$19),Pivot!$A$3,"Customer",C35)</f>
        <v>0</v>
      </c>
      <c r="I35" s="63">
        <f>F35+G35-H35</f>
        <v>5024.890736645998</v>
      </c>
    </row>
    <row r="36" spans="2:11" x14ac:dyDescent="0.25">
      <c r="C36" s="72" t="s">
        <v>22</v>
      </c>
      <c r="D36" s="62">
        <f>GETPIVOTDATA("Sum of "&amp;T(Transactions!$J$19),Pivot!$A$3,"Customer",C36)</f>
        <v>202248.34913768093</v>
      </c>
      <c r="E36" s="62">
        <f>GETPIVOTDATA("Sum of "&amp;T(Transactions!$K$19),Pivot!$A$3,"Customer",C36)</f>
        <v>197914.26728455158</v>
      </c>
      <c r="F36" s="62">
        <f>D36-E36</f>
        <v>4334.081853129348</v>
      </c>
      <c r="G36" s="51">
        <f>+GETPIVOTDATA("Sum of "&amp;T(Transactions!$M$19),Pivot!$A$3,"Customer","SWEPCO")</f>
        <v>355.54327200818148</v>
      </c>
      <c r="H36" s="51">
        <f>GETPIVOTDATA("Sum of "&amp;T(Transactions!$Q$19),Pivot!$A$3,"Customer",C36)</f>
        <v>0</v>
      </c>
      <c r="I36" s="63">
        <f>F36+G36-H36</f>
        <v>4689.6251251375297</v>
      </c>
    </row>
    <row r="37" spans="2:11" x14ac:dyDescent="0.25">
      <c r="C37" s="73" t="s">
        <v>82</v>
      </c>
      <c r="D37" s="62">
        <f>GETPIVOTDATA("Sum of "&amp;T(Transactions!$J$19),Pivot!$A$3,"Customer",C37)</f>
        <v>9242.5473926638369</v>
      </c>
      <c r="E37" s="62">
        <f>GETPIVOTDATA("Sum of "&amp;T(Transactions!$K$19),Pivot!$A$3,"Customer",C37)</f>
        <v>9044.4841842271508</v>
      </c>
      <c r="F37" s="62">
        <f>D37-E37</f>
        <v>198.06320843668618</v>
      </c>
      <c r="G37" s="51">
        <f>+GETPIVOTDATA("Sum of "&amp;T(Transactions!$M$19),Pivot!$A$3,"Customer","SWEPCO-Valley")</f>
        <v>16.247972137667986</v>
      </c>
      <c r="H37" s="51">
        <f>GETPIVOTDATA("Sum of "&amp;T(Transactions!$Q$19),Pivot!$A$3,"Customer",C37)</f>
        <v>0</v>
      </c>
      <c r="I37" s="63">
        <f>F37+G37-H37</f>
        <v>214.31118057435418</v>
      </c>
    </row>
    <row r="38" spans="2:11" ht="23" x14ac:dyDescent="0.25">
      <c r="C38" s="74" t="s">
        <v>52</v>
      </c>
      <c r="D38" s="75">
        <f t="shared" ref="D38:I38" si="3">SUM(D35:D37)</f>
        <v>428198.16608082509</v>
      </c>
      <c r="E38" s="75">
        <f t="shared" si="3"/>
        <v>419022.09166999866</v>
      </c>
      <c r="F38" s="75">
        <f t="shared" si="3"/>
        <v>9176.0744108264389</v>
      </c>
      <c r="G38" s="76">
        <f t="shared" si="3"/>
        <v>752.75263153144249</v>
      </c>
      <c r="H38" s="76">
        <f t="shared" si="3"/>
        <v>0</v>
      </c>
      <c r="I38" s="77">
        <f t="shared" si="3"/>
        <v>9928.8270423578815</v>
      </c>
    </row>
    <row r="39" spans="2:11" ht="23.25" customHeight="1" thickBot="1" x14ac:dyDescent="0.3">
      <c r="C39" s="78" t="s">
        <v>44</v>
      </c>
      <c r="D39" s="79">
        <f t="shared" ref="D39:I39" si="4">SUM(D34,D38)</f>
        <v>581876.15988145745</v>
      </c>
      <c r="E39" s="80">
        <f t="shared" si="4"/>
        <v>569406.84225259512</v>
      </c>
      <c r="F39" s="79">
        <f t="shared" si="4"/>
        <v>12469.317628862416</v>
      </c>
      <c r="G39" s="80">
        <f t="shared" si="4"/>
        <v>1022.9114584612689</v>
      </c>
      <c r="H39" s="80">
        <f t="shared" si="4"/>
        <v>0</v>
      </c>
      <c r="I39" s="81">
        <f t="shared" si="4"/>
        <v>13492.229087323685</v>
      </c>
      <c r="K39" s="82"/>
    </row>
    <row r="40" spans="2:11" x14ac:dyDescent="0.25">
      <c r="E40" s="50"/>
      <c r="F40" s="50"/>
      <c r="G40" s="50"/>
      <c r="H40" s="50"/>
    </row>
    <row r="41" spans="2:11" x14ac:dyDescent="0.25">
      <c r="C41" s="3"/>
      <c r="D41" s="82"/>
      <c r="E41" s="82"/>
      <c r="F41" s="82"/>
      <c r="G41" s="82"/>
      <c r="H41" s="82"/>
      <c r="I41" s="82"/>
    </row>
    <row r="42" spans="2:11" x14ac:dyDescent="0.25">
      <c r="C42" s="3"/>
    </row>
    <row r="43" spans="2:11" x14ac:dyDescent="0.25">
      <c r="C43" s="3"/>
      <c r="D43" s="82"/>
      <c r="E43" s="82"/>
      <c r="F43" s="82"/>
      <c r="G43" s="82"/>
      <c r="H43" s="82"/>
      <c r="I43" s="82"/>
    </row>
    <row r="44" spans="2:11" x14ac:dyDescent="0.25">
      <c r="D44" s="82"/>
      <c r="E44" s="82"/>
      <c r="F44" s="82"/>
      <c r="G44" s="82"/>
      <c r="H44" s="82"/>
      <c r="I44" s="82"/>
    </row>
  </sheetData>
  <mergeCells count="4">
    <mergeCell ref="C1:I1"/>
    <mergeCell ref="C2:I2"/>
    <mergeCell ref="C3:I3"/>
    <mergeCell ref="C4:I4"/>
  </mergeCells>
  <phoneticPr fontId="6" type="noConversion"/>
  <printOptions horizontalCentered="1"/>
  <pageMargins left="0.5" right="0.75" top="0.9" bottom="0.53" header="0.5" footer="0.5"/>
  <pageSetup scale="86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O126"/>
  <sheetViews>
    <sheetView zoomScale="85" workbookViewId="0">
      <pane xSplit="2" ySplit="4" topLeftCell="G98" activePane="bottomRight" state="frozen"/>
      <selection pane="topRight" activeCell="C1" sqref="C1"/>
      <selection pane="bottomLeft" activeCell="A5" sqref="A5"/>
      <selection pane="bottomRight" activeCell="J106" sqref="J106"/>
    </sheetView>
  </sheetViews>
  <sheetFormatPr defaultColWidth="8.7265625" defaultRowHeight="12.5" x14ac:dyDescent="0.25"/>
  <cols>
    <col min="1" max="1" width="19.1796875" style="1" customWidth="1"/>
    <col min="2" max="2" width="27.81640625" style="1" bestFit="1" customWidth="1"/>
    <col min="3" max="14" width="14.81640625" style="1" bestFit="1" customWidth="1"/>
    <col min="15" max="15" width="10.36328125" style="1" bestFit="1" customWidth="1"/>
    <col min="16" max="16384" width="8.7265625" style="1"/>
  </cols>
  <sheetData>
    <row r="3" spans="1:15" x14ac:dyDescent="0.25">
      <c r="A3" s="84"/>
      <c r="B3" s="85"/>
      <c r="C3" s="86" t="s">
        <v>54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7"/>
    </row>
    <row r="4" spans="1:15" x14ac:dyDescent="0.25">
      <c r="A4" s="86" t="s">
        <v>0</v>
      </c>
      <c r="B4" s="86" t="s">
        <v>24</v>
      </c>
      <c r="C4" s="88">
        <v>44927</v>
      </c>
      <c r="D4" s="89">
        <v>44958</v>
      </c>
      <c r="E4" s="89">
        <v>44986</v>
      </c>
      <c r="F4" s="89">
        <v>45017</v>
      </c>
      <c r="G4" s="89">
        <v>45047</v>
      </c>
      <c r="H4" s="89">
        <v>45078</v>
      </c>
      <c r="I4" s="89">
        <v>45108</v>
      </c>
      <c r="J4" s="89">
        <v>45139</v>
      </c>
      <c r="K4" s="89">
        <v>45170</v>
      </c>
      <c r="L4" s="89">
        <v>45200</v>
      </c>
      <c r="M4" s="89">
        <v>45231</v>
      </c>
      <c r="N4" s="89">
        <v>45261</v>
      </c>
      <c r="O4" s="90" t="s">
        <v>18</v>
      </c>
    </row>
    <row r="5" spans="1:15" x14ac:dyDescent="0.25">
      <c r="A5" s="84" t="s">
        <v>14</v>
      </c>
      <c r="B5" s="84" t="s">
        <v>71</v>
      </c>
      <c r="C5" s="91">
        <v>4715.2367474588145</v>
      </c>
      <c r="D5" s="92">
        <v>4476.0580718630781</v>
      </c>
      <c r="E5" s="92">
        <v>3997.7007206716039</v>
      </c>
      <c r="F5" s="92">
        <v>2955.5650627187501</v>
      </c>
      <c r="G5" s="92">
        <v>4100.2058673554911</v>
      </c>
      <c r="H5" s="92">
        <v>5552.3621120438947</v>
      </c>
      <c r="I5" s="92">
        <v>5261.930863106214</v>
      </c>
      <c r="J5" s="92">
        <v>5996.5510810074056</v>
      </c>
      <c r="K5" s="92">
        <v>5153.7309860509995</v>
      </c>
      <c r="L5" s="92">
        <v>3952.1428777009874</v>
      </c>
      <c r="M5" s="92">
        <v>4191.3215532967242</v>
      </c>
      <c r="N5" s="92">
        <v>4060.3427547562019</v>
      </c>
      <c r="O5" s="93">
        <v>54413.148698030163</v>
      </c>
    </row>
    <row r="6" spans="1:15" ht="13" x14ac:dyDescent="0.3">
      <c r="A6" s="216"/>
      <c r="B6" s="94" t="s">
        <v>25</v>
      </c>
      <c r="C6" s="231">
        <v>101.04518581982484</v>
      </c>
      <c r="D6" s="232">
        <v>95.919705379688821</v>
      </c>
      <c r="E6" s="232">
        <v>85.668744499416789</v>
      </c>
      <c r="F6" s="232">
        <v>63.336294010252914</v>
      </c>
      <c r="G6" s="232">
        <v>87.865378973760926</v>
      </c>
      <c r="H6" s="232">
        <v>118.9843673603018</v>
      </c>
      <c r="I6" s="232">
        <v>112.76056968299326</v>
      </c>
      <c r="J6" s="232">
        <v>128.50311674912518</v>
      </c>
      <c r="K6" s="232">
        <v>110.44189996007481</v>
      </c>
      <c r="L6" s="232">
        <v>84.692462510819496</v>
      </c>
      <c r="M6" s="232">
        <v>89.817942950955512</v>
      </c>
      <c r="N6" s="232">
        <v>87.011132233738408</v>
      </c>
      <c r="O6" s="233">
        <v>1166.0468001309528</v>
      </c>
    </row>
    <row r="7" spans="1:15" ht="13" x14ac:dyDescent="0.3">
      <c r="A7" s="216"/>
      <c r="B7" s="94" t="s">
        <v>26</v>
      </c>
      <c r="C7" s="231">
        <v>8.2891687800302485</v>
      </c>
      <c r="D7" s="232">
        <v>7.8687036969852349</v>
      </c>
      <c r="E7" s="232">
        <v>7.0277735308952103</v>
      </c>
      <c r="F7" s="232">
        <v>5.1957470976276552</v>
      </c>
      <c r="G7" s="232">
        <v>7.207972852200216</v>
      </c>
      <c r="H7" s="232">
        <v>9.7607965706877931</v>
      </c>
      <c r="I7" s="232">
        <v>9.2502318269902766</v>
      </c>
      <c r="J7" s="232">
        <v>10.541660296342815</v>
      </c>
      <c r="K7" s="232">
        <v>9.0600214322794379</v>
      </c>
      <c r="L7" s="232">
        <v>6.9476849436485413</v>
      </c>
      <c r="M7" s="232">
        <v>7.368150026693554</v>
      </c>
      <c r="N7" s="232">
        <v>7.1378953383593799</v>
      </c>
      <c r="O7" s="233">
        <v>95.655806392740374</v>
      </c>
    </row>
    <row r="8" spans="1:15" ht="13" x14ac:dyDescent="0.3">
      <c r="A8" s="216"/>
      <c r="B8" s="94" t="s">
        <v>27</v>
      </c>
      <c r="C8" s="231">
        <v>109.33435459985509</v>
      </c>
      <c r="D8" s="232">
        <v>103.78840907667406</v>
      </c>
      <c r="E8" s="232">
        <v>92.696518030312006</v>
      </c>
      <c r="F8" s="232">
        <v>68.532041107880573</v>
      </c>
      <c r="G8" s="232">
        <v>95.07335182596114</v>
      </c>
      <c r="H8" s="232">
        <v>128.74516393098961</v>
      </c>
      <c r="I8" s="232">
        <v>122.01080150998354</v>
      </c>
      <c r="J8" s="232">
        <v>139.04477704546801</v>
      </c>
      <c r="K8" s="232">
        <v>119.50192139235425</v>
      </c>
      <c r="L8" s="232">
        <v>91.640147454468035</v>
      </c>
      <c r="M8" s="232">
        <v>97.186092977649068</v>
      </c>
      <c r="N8" s="232">
        <v>94.149027572097793</v>
      </c>
      <c r="O8" s="233">
        <v>1261.702606523693</v>
      </c>
    </row>
    <row r="9" spans="1:15" x14ac:dyDescent="0.25">
      <c r="A9" s="216"/>
      <c r="B9" s="94" t="s">
        <v>50</v>
      </c>
      <c r="C9" s="95">
        <v>4614.1915616389897</v>
      </c>
      <c r="D9" s="83">
        <v>4380.1383664833893</v>
      </c>
      <c r="E9" s="83">
        <v>3912.0319761721871</v>
      </c>
      <c r="F9" s="83">
        <v>2892.2287687084972</v>
      </c>
      <c r="G9" s="83">
        <v>4012.3404883817302</v>
      </c>
      <c r="H9" s="83">
        <v>5433.3777446835929</v>
      </c>
      <c r="I9" s="83">
        <v>5149.1702934232208</v>
      </c>
      <c r="J9" s="83">
        <v>5868.0479642582804</v>
      </c>
      <c r="K9" s="83">
        <v>5043.2890860909247</v>
      </c>
      <c r="L9" s="83">
        <v>3867.4504151901679</v>
      </c>
      <c r="M9" s="83">
        <v>4101.5036103457687</v>
      </c>
      <c r="N9" s="83">
        <v>3973.3316225224635</v>
      </c>
      <c r="O9" s="96">
        <v>53247.101897899214</v>
      </c>
    </row>
    <row r="10" spans="1:15" x14ac:dyDescent="0.25">
      <c r="A10" s="216"/>
      <c r="B10" s="94" t="s">
        <v>90</v>
      </c>
      <c r="C10" s="95">
        <v>0</v>
      </c>
      <c r="D10" s="83">
        <v>0</v>
      </c>
      <c r="E10" s="83">
        <v>0</v>
      </c>
      <c r="F10" s="83">
        <v>0</v>
      </c>
      <c r="G10" s="83">
        <v>0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96">
        <v>0</v>
      </c>
    </row>
    <row r="11" spans="1:15" x14ac:dyDescent="0.25">
      <c r="A11" s="216"/>
      <c r="B11" s="94" t="s">
        <v>92</v>
      </c>
      <c r="C11" s="95">
        <v>0</v>
      </c>
      <c r="D11" s="83">
        <v>0</v>
      </c>
      <c r="E11" s="83">
        <v>0</v>
      </c>
      <c r="F11" s="83">
        <v>0</v>
      </c>
      <c r="G11" s="83">
        <v>0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96">
        <v>0</v>
      </c>
    </row>
    <row r="12" spans="1:15" x14ac:dyDescent="0.25">
      <c r="A12" s="84" t="s">
        <v>17</v>
      </c>
      <c r="B12" s="84" t="s">
        <v>71</v>
      </c>
      <c r="C12" s="91">
        <v>592.25195861801535</v>
      </c>
      <c r="D12" s="92">
        <v>609.33614973199667</v>
      </c>
      <c r="E12" s="92">
        <v>586.55722824668828</v>
      </c>
      <c r="F12" s="92">
        <v>558.08357639005294</v>
      </c>
      <c r="G12" s="92">
        <v>597.94668898934242</v>
      </c>
      <c r="H12" s="92">
        <v>654.89399270261322</v>
      </c>
      <c r="I12" s="92">
        <v>626.42034084597788</v>
      </c>
      <c r="J12" s="92">
        <v>620.72561047465081</v>
      </c>
      <c r="K12" s="92">
        <v>637.80980158863201</v>
      </c>
      <c r="L12" s="92">
        <v>609.33614973199667</v>
      </c>
      <c r="M12" s="92">
        <v>592.25195861801535</v>
      </c>
      <c r="N12" s="92">
        <v>575.16776750403415</v>
      </c>
      <c r="O12" s="93">
        <v>7260.7812234420144</v>
      </c>
    </row>
    <row r="13" spans="1:15" ht="13" x14ac:dyDescent="0.3">
      <c r="A13" s="216"/>
      <c r="B13" s="94" t="s">
        <v>25</v>
      </c>
      <c r="C13" s="231">
        <v>12.691665851765379</v>
      </c>
      <c r="D13" s="232">
        <v>13.057771597489477</v>
      </c>
      <c r="E13" s="232">
        <v>12.569630603190717</v>
      </c>
      <c r="F13" s="232">
        <v>11.959454360317409</v>
      </c>
      <c r="G13" s="232">
        <v>12.81370110034004</v>
      </c>
      <c r="H13" s="232">
        <v>14.034053586086884</v>
      </c>
      <c r="I13" s="232">
        <v>13.423877343213462</v>
      </c>
      <c r="J13" s="232">
        <v>13.301842094638801</v>
      </c>
      <c r="K13" s="232">
        <v>13.667947840362899</v>
      </c>
      <c r="L13" s="232">
        <v>13.057771597489477</v>
      </c>
      <c r="M13" s="232">
        <v>12.691665851765379</v>
      </c>
      <c r="N13" s="232">
        <v>12.325560106041394</v>
      </c>
      <c r="O13" s="233">
        <v>155.59494193270132</v>
      </c>
    </row>
    <row r="14" spans="1:15" ht="13" x14ac:dyDescent="0.3">
      <c r="A14" s="216"/>
      <c r="B14" s="94" t="s">
        <v>26</v>
      </c>
      <c r="C14" s="231">
        <v>1.0411516342066978</v>
      </c>
      <c r="D14" s="232">
        <v>1.0711848544241986</v>
      </c>
      <c r="E14" s="232">
        <v>1.0311405608008641</v>
      </c>
      <c r="F14" s="232">
        <v>0.98108519377169601</v>
      </c>
      <c r="G14" s="232">
        <v>1.0511627076125314</v>
      </c>
      <c r="H14" s="232">
        <v>1.1512734416708676</v>
      </c>
      <c r="I14" s="232">
        <v>1.1012180746416997</v>
      </c>
      <c r="J14" s="232">
        <v>1.0912070012358659</v>
      </c>
      <c r="K14" s="232">
        <v>1.121240221453367</v>
      </c>
      <c r="L14" s="232">
        <v>1.0711848544241986</v>
      </c>
      <c r="M14" s="232">
        <v>1.0411516342066978</v>
      </c>
      <c r="N14" s="232">
        <v>1.0111184139891969</v>
      </c>
      <c r="O14" s="233">
        <v>12.764118592437882</v>
      </c>
    </row>
    <row r="15" spans="1:15" ht="13" x14ac:dyDescent="0.3">
      <c r="A15" s="216"/>
      <c r="B15" s="94" t="s">
        <v>27</v>
      </c>
      <c r="C15" s="231">
        <v>13.732817485972076</v>
      </c>
      <c r="D15" s="232">
        <v>14.128956451913677</v>
      </c>
      <c r="E15" s="232">
        <v>13.600771163991581</v>
      </c>
      <c r="F15" s="232">
        <v>12.940539554089105</v>
      </c>
      <c r="G15" s="232">
        <v>13.864863807952572</v>
      </c>
      <c r="H15" s="232">
        <v>15.185327027757751</v>
      </c>
      <c r="I15" s="232">
        <v>14.525095417855162</v>
      </c>
      <c r="J15" s="232">
        <v>14.393049095874666</v>
      </c>
      <c r="K15" s="232">
        <v>14.789188061816265</v>
      </c>
      <c r="L15" s="232">
        <v>14.128956451913677</v>
      </c>
      <c r="M15" s="232">
        <v>13.732817485972076</v>
      </c>
      <c r="N15" s="232">
        <v>13.33667852003059</v>
      </c>
      <c r="O15" s="233">
        <v>168.3590605251392</v>
      </c>
    </row>
    <row r="16" spans="1:15" x14ac:dyDescent="0.25">
      <c r="A16" s="216"/>
      <c r="B16" s="94" t="s">
        <v>50</v>
      </c>
      <c r="C16" s="95">
        <v>579.56029276624997</v>
      </c>
      <c r="D16" s="83">
        <v>596.27837813450719</v>
      </c>
      <c r="E16" s="83">
        <v>573.98759764349757</v>
      </c>
      <c r="F16" s="83">
        <v>546.12412202973553</v>
      </c>
      <c r="G16" s="83">
        <v>585.13298788900238</v>
      </c>
      <c r="H16" s="83">
        <v>640.85993911652633</v>
      </c>
      <c r="I16" s="83">
        <v>612.99646350276441</v>
      </c>
      <c r="J16" s="83">
        <v>607.42376838001201</v>
      </c>
      <c r="K16" s="83">
        <v>624.14185374826911</v>
      </c>
      <c r="L16" s="83">
        <v>596.27837813450719</v>
      </c>
      <c r="M16" s="83">
        <v>579.56029276624997</v>
      </c>
      <c r="N16" s="83">
        <v>562.84220739799275</v>
      </c>
      <c r="O16" s="96">
        <v>7105.1862815093136</v>
      </c>
    </row>
    <row r="17" spans="1:15" x14ac:dyDescent="0.25">
      <c r="A17" s="216"/>
      <c r="B17" s="94" t="s">
        <v>90</v>
      </c>
      <c r="C17" s="95">
        <v>0</v>
      </c>
      <c r="D17" s="83">
        <v>0</v>
      </c>
      <c r="E17" s="83">
        <v>0</v>
      </c>
      <c r="F17" s="83">
        <v>0</v>
      </c>
      <c r="G17" s="83">
        <v>0</v>
      </c>
      <c r="H17" s="83">
        <v>0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96">
        <v>0</v>
      </c>
    </row>
    <row r="18" spans="1:15" x14ac:dyDescent="0.25">
      <c r="A18" s="216"/>
      <c r="B18" s="94" t="s">
        <v>92</v>
      </c>
      <c r="C18" s="95">
        <v>0</v>
      </c>
      <c r="D18" s="83">
        <v>0</v>
      </c>
      <c r="E18" s="83">
        <v>0</v>
      </c>
      <c r="F18" s="83">
        <v>0</v>
      </c>
      <c r="G18" s="83">
        <v>0</v>
      </c>
      <c r="H18" s="83">
        <v>0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96">
        <v>0</v>
      </c>
    </row>
    <row r="19" spans="1:15" x14ac:dyDescent="0.25">
      <c r="A19" s="84" t="s">
        <v>13</v>
      </c>
      <c r="B19" s="84" t="s">
        <v>71</v>
      </c>
      <c r="C19" s="91">
        <v>5506.8042690732782</v>
      </c>
      <c r="D19" s="92">
        <v>5438.4675046173534</v>
      </c>
      <c r="E19" s="92">
        <v>4965.8048837972065</v>
      </c>
      <c r="F19" s="92">
        <v>3428.2276835388971</v>
      </c>
      <c r="G19" s="92">
        <v>4048.9532940135477</v>
      </c>
      <c r="H19" s="92">
        <v>5330.2676275621388</v>
      </c>
      <c r="I19" s="92">
        <v>5307.4887060768306</v>
      </c>
      <c r="J19" s="92">
        <v>5837.0986306102477</v>
      </c>
      <c r="K19" s="92">
        <v>5318.8781668194842</v>
      </c>
      <c r="L19" s="92">
        <v>3986.3112599289498</v>
      </c>
      <c r="M19" s="92">
        <v>4937.3312319405704</v>
      </c>
      <c r="N19" s="92">
        <v>5216.3730201355975</v>
      </c>
      <c r="O19" s="93">
        <v>59322.006278114102</v>
      </c>
    </row>
    <row r="20" spans="1:15" ht="13" x14ac:dyDescent="0.3">
      <c r="A20" s="216"/>
      <c r="B20" s="94" t="s">
        <v>25</v>
      </c>
      <c r="C20" s="231">
        <v>118.00808537170451</v>
      </c>
      <c r="D20" s="232">
        <v>116.54366238880812</v>
      </c>
      <c r="E20" s="232">
        <v>106.4147367571104</v>
      </c>
      <c r="F20" s="232">
        <v>73.465219641950171</v>
      </c>
      <c r="G20" s="232">
        <v>86.767061736588857</v>
      </c>
      <c r="H20" s="232">
        <v>114.22499266588966</v>
      </c>
      <c r="I20" s="232">
        <v>113.73685167159056</v>
      </c>
      <c r="J20" s="232">
        <v>125.0861297890342</v>
      </c>
      <c r="K20" s="232">
        <v>113.9809221687392</v>
      </c>
      <c r="L20" s="232">
        <v>85.424674002267238</v>
      </c>
      <c r="M20" s="232">
        <v>105.80456051423698</v>
      </c>
      <c r="N20" s="232">
        <v>111.78428769439597</v>
      </c>
      <c r="O20" s="233">
        <v>1271.2411844023159</v>
      </c>
    </row>
    <row r="21" spans="1:15" ht="13" x14ac:dyDescent="0.3">
      <c r="A21" s="216"/>
      <c r="B21" s="94" t="s">
        <v>26</v>
      </c>
      <c r="C21" s="231">
        <v>9.6807079834411223</v>
      </c>
      <c r="D21" s="232">
        <v>9.5605751025711196</v>
      </c>
      <c r="E21" s="232">
        <v>8.7296560098869271</v>
      </c>
      <c r="F21" s="232">
        <v>6.0266661903118468</v>
      </c>
      <c r="G21" s="232">
        <v>7.1178731915477123</v>
      </c>
      <c r="H21" s="232">
        <v>9.370364707860281</v>
      </c>
      <c r="I21" s="232">
        <v>9.3303204142369456</v>
      </c>
      <c r="J21" s="232">
        <v>10.261350240979473</v>
      </c>
      <c r="K21" s="232">
        <v>9.3503425610486133</v>
      </c>
      <c r="L21" s="232">
        <v>7.0077513840835426</v>
      </c>
      <c r="M21" s="232">
        <v>8.6796006428577606</v>
      </c>
      <c r="N21" s="232">
        <v>9.1701432397436076</v>
      </c>
      <c r="O21" s="233">
        <v>104.28535166856896</v>
      </c>
    </row>
    <row r="22" spans="1:15" ht="13" x14ac:dyDescent="0.3">
      <c r="A22" s="216"/>
      <c r="B22" s="94" t="s">
        <v>27</v>
      </c>
      <c r="C22" s="231">
        <v>127.68879335514563</v>
      </c>
      <c r="D22" s="232">
        <v>126.10423749137924</v>
      </c>
      <c r="E22" s="232">
        <v>115.14439276699733</v>
      </c>
      <c r="F22" s="232">
        <v>79.491885832262014</v>
      </c>
      <c r="G22" s="232">
        <v>93.884934928136573</v>
      </c>
      <c r="H22" s="232">
        <v>123.59535737374993</v>
      </c>
      <c r="I22" s="232">
        <v>123.06717208582751</v>
      </c>
      <c r="J22" s="232">
        <v>135.34748003001368</v>
      </c>
      <c r="K22" s="232">
        <v>123.33126472978782</v>
      </c>
      <c r="L22" s="232">
        <v>92.432425386350786</v>
      </c>
      <c r="M22" s="232">
        <v>114.48416115709475</v>
      </c>
      <c r="N22" s="232">
        <v>120.95443093413958</v>
      </c>
      <c r="O22" s="233">
        <v>1375.526536070885</v>
      </c>
    </row>
    <row r="23" spans="1:15" x14ac:dyDescent="0.25">
      <c r="A23" s="216"/>
      <c r="B23" s="94" t="s">
        <v>50</v>
      </c>
      <c r="C23" s="95">
        <v>5388.7961837015737</v>
      </c>
      <c r="D23" s="83">
        <v>5321.9238422285453</v>
      </c>
      <c r="E23" s="83">
        <v>4859.3901470400961</v>
      </c>
      <c r="F23" s="83">
        <v>3354.7624638969469</v>
      </c>
      <c r="G23" s="83">
        <v>3962.1862322769589</v>
      </c>
      <c r="H23" s="83">
        <v>5216.0426348962492</v>
      </c>
      <c r="I23" s="83">
        <v>5193.75185440524</v>
      </c>
      <c r="J23" s="83">
        <v>5712.0125008212135</v>
      </c>
      <c r="K23" s="83">
        <v>5204.8972446507451</v>
      </c>
      <c r="L23" s="83">
        <v>3900.8865859266825</v>
      </c>
      <c r="M23" s="83">
        <v>4831.5266714263335</v>
      </c>
      <c r="N23" s="83">
        <v>5104.5887324412015</v>
      </c>
      <c r="O23" s="96">
        <v>58050.765093711794</v>
      </c>
    </row>
    <row r="24" spans="1:15" x14ac:dyDescent="0.25">
      <c r="A24" s="216"/>
      <c r="B24" s="94" t="s">
        <v>90</v>
      </c>
      <c r="C24" s="95">
        <v>0</v>
      </c>
      <c r="D24" s="83">
        <v>0</v>
      </c>
      <c r="E24" s="83">
        <v>0</v>
      </c>
      <c r="F24" s="83">
        <v>0</v>
      </c>
      <c r="G24" s="83">
        <v>0</v>
      </c>
      <c r="H24" s="83">
        <v>0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96">
        <v>0</v>
      </c>
    </row>
    <row r="25" spans="1:15" x14ac:dyDescent="0.25">
      <c r="A25" s="216"/>
      <c r="B25" s="94" t="s">
        <v>92</v>
      </c>
      <c r="C25" s="95">
        <v>0</v>
      </c>
      <c r="D25" s="83">
        <v>0</v>
      </c>
      <c r="E25" s="83">
        <v>0</v>
      </c>
      <c r="F25" s="83">
        <v>0</v>
      </c>
      <c r="G25" s="83">
        <v>0</v>
      </c>
      <c r="H25" s="83">
        <v>0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96">
        <v>0</v>
      </c>
    </row>
    <row r="26" spans="1:15" x14ac:dyDescent="0.25">
      <c r="A26" s="84" t="s">
        <v>15</v>
      </c>
      <c r="B26" s="84" t="s">
        <v>71</v>
      </c>
      <c r="C26" s="91">
        <v>34.168382227962425</v>
      </c>
      <c r="D26" s="92">
        <v>28.473651856635357</v>
      </c>
      <c r="E26" s="92">
        <v>28.473651856635357</v>
      </c>
      <c r="F26" s="92">
        <v>39.863112599289501</v>
      </c>
      <c r="G26" s="92">
        <v>22.778921485308285</v>
      </c>
      <c r="H26" s="92">
        <v>79.726225198579002</v>
      </c>
      <c r="I26" s="92">
        <v>74.031494827251919</v>
      </c>
      <c r="J26" s="92">
        <v>108.19987705521436</v>
      </c>
      <c r="K26" s="92">
        <v>102.50514668388728</v>
      </c>
      <c r="L26" s="92">
        <v>34.168382227962425</v>
      </c>
      <c r="M26" s="92">
        <v>34.168382227962425</v>
      </c>
      <c r="N26" s="92">
        <v>28.473651856635357</v>
      </c>
      <c r="O26" s="93">
        <v>615.03088010332363</v>
      </c>
    </row>
    <row r="27" spans="1:15" ht="13" x14ac:dyDescent="0.3">
      <c r="A27" s="216"/>
      <c r="B27" s="94" t="s">
        <v>25</v>
      </c>
      <c r="C27" s="231">
        <v>0.73221149144800535</v>
      </c>
      <c r="D27" s="232">
        <v>0.61017624287334016</v>
      </c>
      <c r="E27" s="232">
        <v>0.61017624287334016</v>
      </c>
      <c r="F27" s="232">
        <v>0.85424674002268119</v>
      </c>
      <c r="G27" s="232">
        <v>0.48814099429867142</v>
      </c>
      <c r="H27" s="232">
        <v>1.7084934800453624</v>
      </c>
      <c r="I27" s="232">
        <v>1.5864582314706723</v>
      </c>
      <c r="J27" s="232">
        <v>2.318669722918699</v>
      </c>
      <c r="K27" s="232">
        <v>2.1966344743440089</v>
      </c>
      <c r="L27" s="232">
        <v>0.73221149144800535</v>
      </c>
      <c r="M27" s="232">
        <v>0.73221149144800535</v>
      </c>
      <c r="N27" s="232">
        <v>0.61017624287334016</v>
      </c>
      <c r="O27" s="233">
        <v>13.179806846064132</v>
      </c>
    </row>
    <row r="28" spans="1:15" ht="13" x14ac:dyDescent="0.3">
      <c r="A28" s="216"/>
      <c r="B28" s="94" t="s">
        <v>26</v>
      </c>
      <c r="C28" s="231">
        <v>6.0066440435001797E-2</v>
      </c>
      <c r="D28" s="232">
        <v>5.0055367029168164E-2</v>
      </c>
      <c r="E28" s="232">
        <v>5.0055367029168164E-2</v>
      </c>
      <c r="F28" s="232">
        <v>7.0077513840835437E-2</v>
      </c>
      <c r="G28" s="232">
        <v>4.0044293623334525E-2</v>
      </c>
      <c r="H28" s="232">
        <v>0.14015502768167087</v>
      </c>
      <c r="I28" s="232">
        <v>0.13014395427583722</v>
      </c>
      <c r="J28" s="232">
        <v>0.19021039471083903</v>
      </c>
      <c r="K28" s="232">
        <v>0.18019932130500538</v>
      </c>
      <c r="L28" s="232">
        <v>6.0066440435001797E-2</v>
      </c>
      <c r="M28" s="232">
        <v>6.0066440435001797E-2</v>
      </c>
      <c r="N28" s="232">
        <v>5.0055367029168164E-2</v>
      </c>
      <c r="O28" s="233">
        <v>1.0811959278300323</v>
      </c>
    </row>
    <row r="29" spans="1:15" ht="13" x14ac:dyDescent="0.3">
      <c r="A29" s="216"/>
      <c r="B29" s="94" t="s">
        <v>27</v>
      </c>
      <c r="C29" s="231">
        <v>0.7922779318830071</v>
      </c>
      <c r="D29" s="232">
        <v>0.66023160990250829</v>
      </c>
      <c r="E29" s="232">
        <v>0.66023160990250829</v>
      </c>
      <c r="F29" s="232">
        <v>0.92432425386351658</v>
      </c>
      <c r="G29" s="232">
        <v>0.52818528792200592</v>
      </c>
      <c r="H29" s="232">
        <v>1.8486485077270332</v>
      </c>
      <c r="I29" s="232">
        <v>1.7166021857465095</v>
      </c>
      <c r="J29" s="232">
        <v>2.5088801176295381</v>
      </c>
      <c r="K29" s="232">
        <v>2.3768337956490142</v>
      </c>
      <c r="L29" s="232">
        <v>0.7922779318830071</v>
      </c>
      <c r="M29" s="232">
        <v>0.7922779318830071</v>
      </c>
      <c r="N29" s="232">
        <v>0.66023160990250829</v>
      </c>
      <c r="O29" s="233">
        <v>14.261002773894162</v>
      </c>
    </row>
    <row r="30" spans="1:15" x14ac:dyDescent="0.25">
      <c r="A30" s="216"/>
      <c r="B30" s="94" t="s">
        <v>50</v>
      </c>
      <c r="C30" s="95">
        <v>33.43617073651442</v>
      </c>
      <c r="D30" s="83">
        <v>27.863475613762017</v>
      </c>
      <c r="E30" s="83">
        <v>27.863475613762017</v>
      </c>
      <c r="F30" s="83">
        <v>39.00886585926682</v>
      </c>
      <c r="G30" s="83">
        <v>22.290780491009613</v>
      </c>
      <c r="H30" s="83">
        <v>78.017731718533639</v>
      </c>
      <c r="I30" s="83">
        <v>72.445036595781247</v>
      </c>
      <c r="J30" s="83">
        <v>105.88120733229566</v>
      </c>
      <c r="K30" s="83">
        <v>100.30851220954327</v>
      </c>
      <c r="L30" s="83">
        <v>33.43617073651442</v>
      </c>
      <c r="M30" s="83">
        <v>33.43617073651442</v>
      </c>
      <c r="N30" s="83">
        <v>27.863475613762017</v>
      </c>
      <c r="O30" s="96">
        <v>601.8510732572596</v>
      </c>
    </row>
    <row r="31" spans="1:15" x14ac:dyDescent="0.25">
      <c r="A31" s="216"/>
      <c r="B31" s="94" t="s">
        <v>90</v>
      </c>
      <c r="C31" s="95">
        <v>0</v>
      </c>
      <c r="D31" s="83">
        <v>0</v>
      </c>
      <c r="E31" s="83">
        <v>0</v>
      </c>
      <c r="F31" s="83">
        <v>0</v>
      </c>
      <c r="G31" s="83">
        <v>0</v>
      </c>
      <c r="H31" s="83">
        <v>0</v>
      </c>
      <c r="I31" s="83">
        <v>0</v>
      </c>
      <c r="J31" s="83">
        <v>0</v>
      </c>
      <c r="K31" s="83">
        <v>0</v>
      </c>
      <c r="L31" s="83">
        <v>0</v>
      </c>
      <c r="M31" s="83">
        <v>0</v>
      </c>
      <c r="N31" s="83">
        <v>0</v>
      </c>
      <c r="O31" s="96">
        <v>0</v>
      </c>
    </row>
    <row r="32" spans="1:15" x14ac:dyDescent="0.25">
      <c r="A32" s="216"/>
      <c r="B32" s="94" t="s">
        <v>92</v>
      </c>
      <c r="C32" s="95">
        <v>0</v>
      </c>
      <c r="D32" s="83">
        <v>0</v>
      </c>
      <c r="E32" s="83">
        <v>0</v>
      </c>
      <c r="F32" s="83">
        <v>0</v>
      </c>
      <c r="G32" s="83">
        <v>0</v>
      </c>
      <c r="H32" s="83">
        <v>0</v>
      </c>
      <c r="I32" s="83">
        <v>0</v>
      </c>
      <c r="J32" s="83">
        <v>0</v>
      </c>
      <c r="K32" s="83">
        <v>0</v>
      </c>
      <c r="L32" s="83">
        <v>0</v>
      </c>
      <c r="M32" s="83">
        <v>0</v>
      </c>
      <c r="N32" s="83">
        <v>0</v>
      </c>
      <c r="O32" s="96">
        <v>0</v>
      </c>
    </row>
    <row r="33" spans="1:15" x14ac:dyDescent="0.25">
      <c r="A33" s="84" t="s">
        <v>16</v>
      </c>
      <c r="B33" s="84" t="s">
        <v>71</v>
      </c>
      <c r="C33" s="91">
        <v>22.778921485308285</v>
      </c>
      <c r="D33" s="92">
        <v>28.473651856635357</v>
      </c>
      <c r="E33" s="92">
        <v>5.6947303713270712</v>
      </c>
      <c r="F33" s="92">
        <v>39.863112599289501</v>
      </c>
      <c r="G33" s="92">
        <v>17.084191113981213</v>
      </c>
      <c r="H33" s="92">
        <v>39.863112599289501</v>
      </c>
      <c r="I33" s="92">
        <v>28.473651856635357</v>
      </c>
      <c r="J33" s="92">
        <v>28.473651856635357</v>
      </c>
      <c r="K33" s="92">
        <v>34.168382227962425</v>
      </c>
      <c r="L33" s="92">
        <v>28.473651856635357</v>
      </c>
      <c r="M33" s="92">
        <v>22.778921485308285</v>
      </c>
      <c r="N33" s="92">
        <v>22.778921485308285</v>
      </c>
      <c r="O33" s="93">
        <v>318.90490079431595</v>
      </c>
    </row>
    <row r="34" spans="1:15" ht="13" x14ac:dyDescent="0.3">
      <c r="A34" s="216"/>
      <c r="B34" s="94" t="s">
        <v>25</v>
      </c>
      <c r="C34" s="231">
        <v>0.48814099429867142</v>
      </c>
      <c r="D34" s="232">
        <v>0.61017624287334016</v>
      </c>
      <c r="E34" s="232">
        <v>0.12203524857466785</v>
      </c>
      <c r="F34" s="232">
        <v>0.85424674002268119</v>
      </c>
      <c r="G34" s="232">
        <v>0.36610574572400267</v>
      </c>
      <c r="H34" s="232">
        <v>0.85424674002268119</v>
      </c>
      <c r="I34" s="232">
        <v>0.61017624287334016</v>
      </c>
      <c r="J34" s="232">
        <v>0.61017624287334016</v>
      </c>
      <c r="K34" s="232">
        <v>0.73221149144800535</v>
      </c>
      <c r="L34" s="232">
        <v>0.61017624287334016</v>
      </c>
      <c r="M34" s="232">
        <v>0.48814099429867142</v>
      </c>
      <c r="N34" s="232">
        <v>0.48814099429867142</v>
      </c>
      <c r="O34" s="233">
        <v>6.8339739201814131</v>
      </c>
    </row>
    <row r="35" spans="1:15" ht="13" x14ac:dyDescent="0.3">
      <c r="A35" s="216"/>
      <c r="B35" s="94" t="s">
        <v>26</v>
      </c>
      <c r="C35" s="231">
        <v>4.0044293623334525E-2</v>
      </c>
      <c r="D35" s="232">
        <v>5.0055367029168164E-2</v>
      </c>
      <c r="E35" s="232">
        <v>1.0011073405833631E-2</v>
      </c>
      <c r="F35" s="232">
        <v>7.0077513840835437E-2</v>
      </c>
      <c r="G35" s="232">
        <v>3.0033220217500899E-2</v>
      </c>
      <c r="H35" s="232">
        <v>7.0077513840835437E-2</v>
      </c>
      <c r="I35" s="232">
        <v>5.0055367029168164E-2</v>
      </c>
      <c r="J35" s="232">
        <v>5.0055367029168164E-2</v>
      </c>
      <c r="K35" s="232">
        <v>6.0066440435001797E-2</v>
      </c>
      <c r="L35" s="232">
        <v>5.0055367029168164E-2</v>
      </c>
      <c r="M35" s="232">
        <v>4.0044293623334525E-2</v>
      </c>
      <c r="N35" s="232">
        <v>4.0044293623334525E-2</v>
      </c>
      <c r="O35" s="233">
        <v>0.5606201107266835</v>
      </c>
    </row>
    <row r="36" spans="1:15" ht="13" x14ac:dyDescent="0.3">
      <c r="A36" s="216"/>
      <c r="B36" s="94" t="s">
        <v>27</v>
      </c>
      <c r="C36" s="231">
        <v>0.52818528792200592</v>
      </c>
      <c r="D36" s="232">
        <v>0.66023160990250829</v>
      </c>
      <c r="E36" s="232">
        <v>0.13204632198050148</v>
      </c>
      <c r="F36" s="232">
        <v>0.92432425386351658</v>
      </c>
      <c r="G36" s="232">
        <v>0.39613896594150355</v>
      </c>
      <c r="H36" s="232">
        <v>0.92432425386351658</v>
      </c>
      <c r="I36" s="232">
        <v>0.66023160990250829</v>
      </c>
      <c r="J36" s="232">
        <v>0.66023160990250829</v>
      </c>
      <c r="K36" s="232">
        <v>0.7922779318830071</v>
      </c>
      <c r="L36" s="232">
        <v>0.66023160990250829</v>
      </c>
      <c r="M36" s="232">
        <v>0.52818528792200592</v>
      </c>
      <c r="N36" s="232">
        <v>0.52818528792200592</v>
      </c>
      <c r="O36" s="233">
        <v>7.3945940309080971</v>
      </c>
    </row>
    <row r="37" spans="1:15" x14ac:dyDescent="0.25">
      <c r="A37" s="216"/>
      <c r="B37" s="94" t="s">
        <v>50</v>
      </c>
      <c r="C37" s="95">
        <v>22.290780491009613</v>
      </c>
      <c r="D37" s="83">
        <v>27.863475613762017</v>
      </c>
      <c r="E37" s="83">
        <v>5.5726951227524033</v>
      </c>
      <c r="F37" s="83">
        <v>39.00886585926682</v>
      </c>
      <c r="G37" s="83">
        <v>16.71808536825721</v>
      </c>
      <c r="H37" s="83">
        <v>39.00886585926682</v>
      </c>
      <c r="I37" s="83">
        <v>27.863475613762017</v>
      </c>
      <c r="J37" s="83">
        <v>27.863475613762017</v>
      </c>
      <c r="K37" s="83">
        <v>33.43617073651442</v>
      </c>
      <c r="L37" s="83">
        <v>27.863475613762017</v>
      </c>
      <c r="M37" s="83">
        <v>22.290780491009613</v>
      </c>
      <c r="N37" s="83">
        <v>22.290780491009613</v>
      </c>
      <c r="O37" s="96">
        <v>312.07092687413456</v>
      </c>
    </row>
    <row r="38" spans="1:15" x14ac:dyDescent="0.25">
      <c r="A38" s="216"/>
      <c r="B38" s="94" t="s">
        <v>90</v>
      </c>
      <c r="C38" s="95">
        <v>0</v>
      </c>
      <c r="D38" s="83">
        <v>0</v>
      </c>
      <c r="E38" s="83">
        <v>0</v>
      </c>
      <c r="F38" s="83">
        <v>0</v>
      </c>
      <c r="G38" s="83">
        <v>0</v>
      </c>
      <c r="H38" s="83">
        <v>0</v>
      </c>
      <c r="I38" s="83">
        <v>0</v>
      </c>
      <c r="J38" s="83">
        <v>0</v>
      </c>
      <c r="K38" s="83">
        <v>0</v>
      </c>
      <c r="L38" s="83">
        <v>0</v>
      </c>
      <c r="M38" s="83">
        <v>0</v>
      </c>
      <c r="N38" s="83">
        <v>0</v>
      </c>
      <c r="O38" s="96">
        <v>0</v>
      </c>
    </row>
    <row r="39" spans="1:15" x14ac:dyDescent="0.25">
      <c r="A39" s="216"/>
      <c r="B39" s="94" t="s">
        <v>92</v>
      </c>
      <c r="C39" s="95">
        <v>0</v>
      </c>
      <c r="D39" s="83">
        <v>0</v>
      </c>
      <c r="E39" s="83">
        <v>0</v>
      </c>
      <c r="F39" s="83">
        <v>0</v>
      </c>
      <c r="G39" s="83">
        <v>0</v>
      </c>
      <c r="H39" s="83">
        <v>0</v>
      </c>
      <c r="I39" s="83">
        <v>0</v>
      </c>
      <c r="J39" s="83">
        <v>0</v>
      </c>
      <c r="K39" s="83">
        <v>0</v>
      </c>
      <c r="L39" s="83">
        <v>0</v>
      </c>
      <c r="M39" s="83">
        <v>0</v>
      </c>
      <c r="N39" s="83">
        <v>0</v>
      </c>
      <c r="O39" s="96">
        <v>0</v>
      </c>
    </row>
    <row r="40" spans="1:15" x14ac:dyDescent="0.25">
      <c r="A40" s="84" t="s">
        <v>19</v>
      </c>
      <c r="B40" s="84" t="s">
        <v>71</v>
      </c>
      <c r="C40" s="91">
        <v>358.76801339360549</v>
      </c>
      <c r="D40" s="92">
        <v>358.76801339360549</v>
      </c>
      <c r="E40" s="92">
        <v>381.54693487891376</v>
      </c>
      <c r="F40" s="92">
        <v>353.07328302227842</v>
      </c>
      <c r="G40" s="92">
        <v>290.43124893768061</v>
      </c>
      <c r="H40" s="92">
        <v>381.54693487891376</v>
      </c>
      <c r="I40" s="92">
        <v>375.85220450758669</v>
      </c>
      <c r="J40" s="92">
        <v>347.37855265095135</v>
      </c>
      <c r="K40" s="92">
        <v>313.21017042298894</v>
      </c>
      <c r="L40" s="92">
        <v>335.98909190829721</v>
      </c>
      <c r="M40" s="92">
        <v>358.76801339360549</v>
      </c>
      <c r="N40" s="92">
        <v>358.76801339360549</v>
      </c>
      <c r="O40" s="93">
        <v>4214.1004747820325</v>
      </c>
    </row>
    <row r="41" spans="1:15" ht="13" x14ac:dyDescent="0.3">
      <c r="A41" s="216"/>
      <c r="B41" s="94" t="s">
        <v>25</v>
      </c>
      <c r="C41" s="231">
        <v>7.688220660204081</v>
      </c>
      <c r="D41" s="232">
        <v>7.688220660204081</v>
      </c>
      <c r="E41" s="232">
        <v>8.1763616545027276</v>
      </c>
      <c r="F41" s="232">
        <v>7.5661854116294194</v>
      </c>
      <c r="G41" s="232">
        <v>6.2237976773080277</v>
      </c>
      <c r="H41" s="232">
        <v>8.1763616545027276</v>
      </c>
      <c r="I41" s="232">
        <v>8.0543264059280659</v>
      </c>
      <c r="J41" s="232">
        <v>7.4441501630547577</v>
      </c>
      <c r="K41" s="232">
        <v>6.7119386716067311</v>
      </c>
      <c r="L41" s="232">
        <v>7.2000796659054345</v>
      </c>
      <c r="M41" s="232">
        <v>7.688220660204081</v>
      </c>
      <c r="N41" s="232">
        <v>7.688220660204081</v>
      </c>
      <c r="O41" s="233">
        <v>90.306083945254215</v>
      </c>
    </row>
    <row r="42" spans="1:15" ht="13" x14ac:dyDescent="0.3">
      <c r="A42" s="216"/>
      <c r="B42" s="94" t="s">
        <v>26</v>
      </c>
      <c r="C42" s="231">
        <v>0.63069762456751877</v>
      </c>
      <c r="D42" s="232">
        <v>0.63069762456751877</v>
      </c>
      <c r="E42" s="232">
        <v>0.67074191819085338</v>
      </c>
      <c r="F42" s="232">
        <v>0.62068655116168514</v>
      </c>
      <c r="G42" s="232">
        <v>0.51056474369751526</v>
      </c>
      <c r="H42" s="232">
        <v>0.67074191819085338</v>
      </c>
      <c r="I42" s="232">
        <v>0.66073084478501976</v>
      </c>
      <c r="J42" s="232">
        <v>0.61067547775585151</v>
      </c>
      <c r="K42" s="232">
        <v>0.55060903732084987</v>
      </c>
      <c r="L42" s="232">
        <v>0.59065333094418437</v>
      </c>
      <c r="M42" s="232">
        <v>0.63069762456751877</v>
      </c>
      <c r="N42" s="232">
        <v>0.63069762456751877</v>
      </c>
      <c r="O42" s="233">
        <v>7.4081943203168885</v>
      </c>
    </row>
    <row r="43" spans="1:15" ht="13" x14ac:dyDescent="0.3">
      <c r="A43" s="216"/>
      <c r="B43" s="94" t="s">
        <v>27</v>
      </c>
      <c r="C43" s="231">
        <v>8.3189182847716001</v>
      </c>
      <c r="D43" s="232">
        <v>8.3189182847716001</v>
      </c>
      <c r="E43" s="232">
        <v>8.8471035726935803</v>
      </c>
      <c r="F43" s="232">
        <v>8.1868719627911037</v>
      </c>
      <c r="G43" s="232">
        <v>6.7343624210055433</v>
      </c>
      <c r="H43" s="232">
        <v>8.8471035726935803</v>
      </c>
      <c r="I43" s="232">
        <v>8.7150572507130857</v>
      </c>
      <c r="J43" s="232">
        <v>8.0548256408106091</v>
      </c>
      <c r="K43" s="232">
        <v>7.2625477089275812</v>
      </c>
      <c r="L43" s="232">
        <v>7.7907329968496191</v>
      </c>
      <c r="M43" s="232">
        <v>8.3189182847716001</v>
      </c>
      <c r="N43" s="232">
        <v>8.3189182847716001</v>
      </c>
      <c r="O43" s="233">
        <v>97.714278265571096</v>
      </c>
    </row>
    <row r="44" spans="1:15" x14ac:dyDescent="0.25">
      <c r="A44" s="216"/>
      <c r="B44" s="94" t="s">
        <v>50</v>
      </c>
      <c r="C44" s="95">
        <v>351.0797927334014</v>
      </c>
      <c r="D44" s="83">
        <v>351.0797927334014</v>
      </c>
      <c r="E44" s="83">
        <v>373.37057322441103</v>
      </c>
      <c r="F44" s="83">
        <v>345.507097610649</v>
      </c>
      <c r="G44" s="83">
        <v>284.20745126037258</v>
      </c>
      <c r="H44" s="83">
        <v>373.37057322441103</v>
      </c>
      <c r="I44" s="83">
        <v>367.79787810165863</v>
      </c>
      <c r="J44" s="83">
        <v>339.93440248789659</v>
      </c>
      <c r="K44" s="83">
        <v>306.49823175138221</v>
      </c>
      <c r="L44" s="83">
        <v>328.78901224239178</v>
      </c>
      <c r="M44" s="83">
        <v>351.0797927334014</v>
      </c>
      <c r="N44" s="83">
        <v>351.0797927334014</v>
      </c>
      <c r="O44" s="96">
        <v>4123.7943908367788</v>
      </c>
    </row>
    <row r="45" spans="1:15" x14ac:dyDescent="0.25">
      <c r="A45" s="216"/>
      <c r="B45" s="94" t="s">
        <v>90</v>
      </c>
      <c r="C45" s="95">
        <v>0</v>
      </c>
      <c r="D45" s="83">
        <v>0</v>
      </c>
      <c r="E45" s="83">
        <v>0</v>
      </c>
      <c r="F45" s="83">
        <v>0</v>
      </c>
      <c r="G45" s="83">
        <v>0</v>
      </c>
      <c r="H45" s="83">
        <v>0</v>
      </c>
      <c r="I45" s="83">
        <v>0</v>
      </c>
      <c r="J45" s="83">
        <v>0</v>
      </c>
      <c r="K45" s="83">
        <v>0</v>
      </c>
      <c r="L45" s="83">
        <v>0</v>
      </c>
      <c r="M45" s="83">
        <v>0</v>
      </c>
      <c r="N45" s="83">
        <v>0</v>
      </c>
      <c r="O45" s="96">
        <v>0</v>
      </c>
    </row>
    <row r="46" spans="1:15" x14ac:dyDescent="0.25">
      <c r="A46" s="216"/>
      <c r="B46" s="94" t="s">
        <v>92</v>
      </c>
      <c r="C46" s="95">
        <v>0</v>
      </c>
      <c r="D46" s="83">
        <v>0</v>
      </c>
      <c r="E46" s="83">
        <v>0</v>
      </c>
      <c r="F46" s="83">
        <v>0</v>
      </c>
      <c r="G46" s="83">
        <v>0</v>
      </c>
      <c r="H46" s="83">
        <v>0</v>
      </c>
      <c r="I46" s="83">
        <v>0</v>
      </c>
      <c r="J46" s="83">
        <v>0</v>
      </c>
      <c r="K46" s="83">
        <v>0</v>
      </c>
      <c r="L46" s="83">
        <v>0</v>
      </c>
      <c r="M46" s="83">
        <v>0</v>
      </c>
      <c r="N46" s="83">
        <v>0</v>
      </c>
      <c r="O46" s="96">
        <v>0</v>
      </c>
    </row>
    <row r="47" spans="1:15" x14ac:dyDescent="0.25">
      <c r="A47" s="84" t="s">
        <v>8</v>
      </c>
      <c r="B47" s="84" t="s">
        <v>71</v>
      </c>
      <c r="C47" s="91">
        <v>478.35735119147398</v>
      </c>
      <c r="D47" s="92">
        <v>472.66262082014691</v>
      </c>
      <c r="E47" s="92">
        <v>432.79950822085743</v>
      </c>
      <c r="F47" s="92">
        <v>392.9363956215679</v>
      </c>
      <c r="G47" s="92">
        <v>563.77830676138001</v>
      </c>
      <c r="H47" s="92">
        <v>848.51482532773355</v>
      </c>
      <c r="I47" s="92">
        <v>842.82009495640648</v>
      </c>
      <c r="J47" s="92">
        <v>911.15685941233141</v>
      </c>
      <c r="K47" s="92">
        <v>882.68320755569607</v>
      </c>
      <c r="L47" s="92">
        <v>626.42034084597788</v>
      </c>
      <c r="M47" s="92">
        <v>398.63112599289497</v>
      </c>
      <c r="N47" s="92">
        <v>375.85220450758669</v>
      </c>
      <c r="O47" s="93">
        <v>7226.6128412140542</v>
      </c>
    </row>
    <row r="48" spans="1:15" ht="13" x14ac:dyDescent="0.3">
      <c r="A48" s="216"/>
      <c r="B48" s="94" t="s">
        <v>25</v>
      </c>
      <c r="C48" s="231">
        <v>10.250960880272089</v>
      </c>
      <c r="D48" s="232">
        <v>10.128925631697427</v>
      </c>
      <c r="E48" s="232">
        <v>9.274678891674796</v>
      </c>
      <c r="F48" s="232">
        <v>8.4204321516520508</v>
      </c>
      <c r="G48" s="232">
        <v>12.08148960889207</v>
      </c>
      <c r="H48" s="232">
        <v>18.183252037625493</v>
      </c>
      <c r="I48" s="232">
        <v>18.061216789050832</v>
      </c>
      <c r="J48" s="232">
        <v>19.525639771946885</v>
      </c>
      <c r="K48" s="232">
        <v>18.915463529073577</v>
      </c>
      <c r="L48" s="232">
        <v>13.423877343213462</v>
      </c>
      <c r="M48" s="232">
        <v>8.5424674002267125</v>
      </c>
      <c r="N48" s="232">
        <v>8.0543264059280659</v>
      </c>
      <c r="O48" s="233">
        <v>154.86273044125346</v>
      </c>
    </row>
    <row r="49" spans="1:15" ht="13" x14ac:dyDescent="0.3">
      <c r="A49" s="216"/>
      <c r="B49" s="94" t="s">
        <v>26</v>
      </c>
      <c r="C49" s="231">
        <v>0.84093016609002513</v>
      </c>
      <c r="D49" s="232">
        <v>0.83091909268419151</v>
      </c>
      <c r="E49" s="232">
        <v>0.76084157884335613</v>
      </c>
      <c r="F49" s="232">
        <v>0.69076406500252063</v>
      </c>
      <c r="G49" s="232">
        <v>0.99109626717752974</v>
      </c>
      <c r="H49" s="232">
        <v>1.4916499374692114</v>
      </c>
      <c r="I49" s="232">
        <v>1.4816388640633775</v>
      </c>
      <c r="J49" s="232">
        <v>1.6017717449333813</v>
      </c>
      <c r="K49" s="232">
        <v>1.5517163779042131</v>
      </c>
      <c r="L49" s="232">
        <v>1.1012180746416997</v>
      </c>
      <c r="M49" s="232">
        <v>0.70077513840835426</v>
      </c>
      <c r="N49" s="232">
        <v>0.66073084478501976</v>
      </c>
      <c r="O49" s="233">
        <v>12.704052152002882</v>
      </c>
    </row>
    <row r="50" spans="1:15" ht="13" x14ac:dyDescent="0.3">
      <c r="A50" s="216"/>
      <c r="B50" s="94" t="s">
        <v>27</v>
      </c>
      <c r="C50" s="231">
        <v>11.091891046362115</v>
      </c>
      <c r="D50" s="232">
        <v>10.959844724381618</v>
      </c>
      <c r="E50" s="232">
        <v>10.035520470518152</v>
      </c>
      <c r="F50" s="232">
        <v>9.1111962166545712</v>
      </c>
      <c r="G50" s="232">
        <v>13.072585876069601</v>
      </c>
      <c r="H50" s="232">
        <v>19.674901975094706</v>
      </c>
      <c r="I50" s="232">
        <v>19.542855653114209</v>
      </c>
      <c r="J50" s="232">
        <v>21.127411516880265</v>
      </c>
      <c r="K50" s="232">
        <v>20.46717990697779</v>
      </c>
      <c r="L50" s="232">
        <v>14.525095417855162</v>
      </c>
      <c r="M50" s="232">
        <v>9.2432425386350658</v>
      </c>
      <c r="N50" s="232">
        <v>8.7150572507130857</v>
      </c>
      <c r="O50" s="233">
        <v>167.56678259325631</v>
      </c>
    </row>
    <row r="51" spans="1:15" x14ac:dyDescent="0.25">
      <c r="A51" s="216"/>
      <c r="B51" s="94" t="s">
        <v>50</v>
      </c>
      <c r="C51" s="95">
        <v>468.10639031120189</v>
      </c>
      <c r="D51" s="83">
        <v>462.53369518844949</v>
      </c>
      <c r="E51" s="83">
        <v>423.52482932918264</v>
      </c>
      <c r="F51" s="83">
        <v>384.51596346991585</v>
      </c>
      <c r="G51" s="83">
        <v>551.69681715248794</v>
      </c>
      <c r="H51" s="83">
        <v>830.33157329010805</v>
      </c>
      <c r="I51" s="83">
        <v>824.75887816735565</v>
      </c>
      <c r="J51" s="83">
        <v>891.63121964038453</v>
      </c>
      <c r="K51" s="83">
        <v>863.76774402662249</v>
      </c>
      <c r="L51" s="83">
        <v>612.99646350276441</v>
      </c>
      <c r="M51" s="83">
        <v>390.08865859266825</v>
      </c>
      <c r="N51" s="83">
        <v>367.79787810165863</v>
      </c>
      <c r="O51" s="96">
        <v>7071.7501107728003</v>
      </c>
    </row>
    <row r="52" spans="1:15" x14ac:dyDescent="0.25">
      <c r="A52" s="216"/>
      <c r="B52" s="94" t="s">
        <v>90</v>
      </c>
      <c r="C52" s="95">
        <v>0</v>
      </c>
      <c r="D52" s="83">
        <v>0</v>
      </c>
      <c r="E52" s="83">
        <v>0</v>
      </c>
      <c r="F52" s="83">
        <v>0</v>
      </c>
      <c r="G52" s="83">
        <v>0</v>
      </c>
      <c r="H52" s="83">
        <v>0</v>
      </c>
      <c r="I52" s="83">
        <v>0</v>
      </c>
      <c r="J52" s="83">
        <v>0</v>
      </c>
      <c r="K52" s="83">
        <v>0</v>
      </c>
      <c r="L52" s="83">
        <v>0</v>
      </c>
      <c r="M52" s="83">
        <v>0</v>
      </c>
      <c r="N52" s="83">
        <v>0</v>
      </c>
      <c r="O52" s="96">
        <v>0</v>
      </c>
    </row>
    <row r="53" spans="1:15" x14ac:dyDescent="0.25">
      <c r="A53" s="216"/>
      <c r="B53" s="94" t="s">
        <v>92</v>
      </c>
      <c r="C53" s="95">
        <v>0</v>
      </c>
      <c r="D53" s="83">
        <v>0</v>
      </c>
      <c r="E53" s="83">
        <v>0</v>
      </c>
      <c r="F53" s="83">
        <v>0</v>
      </c>
      <c r="G53" s="83">
        <v>0</v>
      </c>
      <c r="H53" s="83">
        <v>0</v>
      </c>
      <c r="I53" s="83">
        <v>0</v>
      </c>
      <c r="J53" s="83">
        <v>0</v>
      </c>
      <c r="K53" s="83">
        <v>0</v>
      </c>
      <c r="L53" s="83">
        <v>0</v>
      </c>
      <c r="M53" s="83">
        <v>0</v>
      </c>
      <c r="N53" s="83">
        <v>0</v>
      </c>
      <c r="O53" s="96">
        <v>0</v>
      </c>
    </row>
    <row r="54" spans="1:15" x14ac:dyDescent="0.25">
      <c r="A54" s="84" t="s">
        <v>21</v>
      </c>
      <c r="B54" s="84" t="s">
        <v>71</v>
      </c>
      <c r="C54" s="91">
        <v>16002.192343429069</v>
      </c>
      <c r="D54" s="92">
        <v>15780.097858947314</v>
      </c>
      <c r="E54" s="92">
        <v>13604.710857100374</v>
      </c>
      <c r="F54" s="92">
        <v>13621.795048214355</v>
      </c>
      <c r="G54" s="92">
        <v>18399.673829757769</v>
      </c>
      <c r="H54" s="92">
        <v>23348.394522440991</v>
      </c>
      <c r="I54" s="92">
        <v>22710.584720852359</v>
      </c>
      <c r="J54" s="92">
        <v>24288.025033709957</v>
      </c>
      <c r="K54" s="92">
        <v>22870.037171249518</v>
      </c>
      <c r="L54" s="92">
        <v>17682.137802970556</v>
      </c>
      <c r="M54" s="92">
        <v>14310.857423144929</v>
      </c>
      <c r="N54" s="92">
        <v>14088.762938663174</v>
      </c>
      <c r="O54" s="93">
        <v>216707.26955048036</v>
      </c>
    </row>
    <row r="55" spans="1:15" ht="13" x14ac:dyDescent="0.3">
      <c r="A55" s="216"/>
      <c r="B55" s="94" t="s">
        <v>25</v>
      </c>
      <c r="C55" s="231">
        <v>342.9190484948158</v>
      </c>
      <c r="D55" s="232">
        <v>338.15967380040456</v>
      </c>
      <c r="E55" s="232">
        <v>291.54220884488132</v>
      </c>
      <c r="F55" s="232">
        <v>291.9083145906061</v>
      </c>
      <c r="G55" s="232">
        <v>394.2958881447521</v>
      </c>
      <c r="H55" s="232">
        <v>500.34451915613681</v>
      </c>
      <c r="I55" s="232">
        <v>486.67657131577653</v>
      </c>
      <c r="J55" s="232">
        <v>520.4803351709561</v>
      </c>
      <c r="K55" s="232">
        <v>490.09355827586478</v>
      </c>
      <c r="L55" s="232">
        <v>378.91944682434405</v>
      </c>
      <c r="M55" s="232">
        <v>306.6745796681389</v>
      </c>
      <c r="N55" s="232">
        <v>301.91520497372767</v>
      </c>
      <c r="O55" s="233">
        <v>4643.9293492604047</v>
      </c>
    </row>
    <row r="56" spans="1:15" ht="13" x14ac:dyDescent="0.3">
      <c r="A56" s="216"/>
      <c r="B56" s="94" t="s">
        <v>26</v>
      </c>
      <c r="C56" s="231">
        <v>28.131116270392507</v>
      </c>
      <c r="D56" s="232">
        <v>27.740684407564995</v>
      </c>
      <c r="E56" s="232">
        <v>23.916454366536549</v>
      </c>
      <c r="F56" s="232">
        <v>23.946487586754049</v>
      </c>
      <c r="G56" s="232">
        <v>32.345778174248466</v>
      </c>
      <c r="H56" s="232">
        <v>41.045400963917892</v>
      </c>
      <c r="I56" s="232">
        <v>39.92416074246453</v>
      </c>
      <c r="J56" s="232">
        <v>42.697228075880439</v>
      </c>
      <c r="K56" s="232">
        <v>40.204470797827874</v>
      </c>
      <c r="L56" s="232">
        <v>31.084382925113431</v>
      </c>
      <c r="M56" s="232">
        <v>25.157827468859921</v>
      </c>
      <c r="N56" s="232">
        <v>24.767395606032409</v>
      </c>
      <c r="O56" s="233">
        <v>380.96138738559307</v>
      </c>
    </row>
    <row r="57" spans="1:15" ht="13" x14ac:dyDescent="0.3">
      <c r="A57" s="216"/>
      <c r="B57" s="94" t="s">
        <v>27</v>
      </c>
      <c r="C57" s="231">
        <v>371.05016476520831</v>
      </c>
      <c r="D57" s="232">
        <v>365.90035820796953</v>
      </c>
      <c r="E57" s="232">
        <v>315.45866321141784</v>
      </c>
      <c r="F57" s="232">
        <v>315.85480217736017</v>
      </c>
      <c r="G57" s="232">
        <v>426.64166631900059</v>
      </c>
      <c r="H57" s="232">
        <v>541.38992012005474</v>
      </c>
      <c r="I57" s="232">
        <v>526.60073205824108</v>
      </c>
      <c r="J57" s="232">
        <v>563.17756324683648</v>
      </c>
      <c r="K57" s="232">
        <v>530.29802907369265</v>
      </c>
      <c r="L57" s="232">
        <v>410.00382974945751</v>
      </c>
      <c r="M57" s="232">
        <v>331.83240713699882</v>
      </c>
      <c r="N57" s="232">
        <v>326.68260057976011</v>
      </c>
      <c r="O57" s="233">
        <v>5024.890736645998</v>
      </c>
    </row>
    <row r="58" spans="1:15" x14ac:dyDescent="0.25">
      <c r="A58" s="216"/>
      <c r="B58" s="94" t="s">
        <v>50</v>
      </c>
      <c r="C58" s="95">
        <v>15659.273294934253</v>
      </c>
      <c r="D58" s="83">
        <v>15441.93818514691</v>
      </c>
      <c r="E58" s="83">
        <v>13313.168648255492</v>
      </c>
      <c r="F58" s="83">
        <v>13329.886733623749</v>
      </c>
      <c r="G58" s="83">
        <v>18005.377941613016</v>
      </c>
      <c r="H58" s="83">
        <v>22848.050003284854</v>
      </c>
      <c r="I58" s="83">
        <v>22223.908149536583</v>
      </c>
      <c r="J58" s="83">
        <v>23767.544698539001</v>
      </c>
      <c r="K58" s="83">
        <v>22379.943612973653</v>
      </c>
      <c r="L58" s="83">
        <v>17303.218356146212</v>
      </c>
      <c r="M58" s="83">
        <v>14004.18284347679</v>
      </c>
      <c r="N58" s="83">
        <v>13786.847733689447</v>
      </c>
      <c r="O58" s="96">
        <v>212063.34020121995</v>
      </c>
    </row>
    <row r="59" spans="1:15" x14ac:dyDescent="0.25">
      <c r="A59" s="216"/>
      <c r="B59" s="94" t="s">
        <v>90</v>
      </c>
      <c r="C59" s="95">
        <v>0</v>
      </c>
      <c r="D59" s="83">
        <v>0</v>
      </c>
      <c r="E59" s="83">
        <v>0</v>
      </c>
      <c r="F59" s="83">
        <v>0</v>
      </c>
      <c r="G59" s="83">
        <v>0</v>
      </c>
      <c r="H59" s="83">
        <v>0</v>
      </c>
      <c r="I59" s="83">
        <v>0</v>
      </c>
      <c r="J59" s="83">
        <v>0</v>
      </c>
      <c r="K59" s="83">
        <v>0</v>
      </c>
      <c r="L59" s="83">
        <v>0</v>
      </c>
      <c r="M59" s="83">
        <v>0</v>
      </c>
      <c r="N59" s="83">
        <v>0</v>
      </c>
      <c r="O59" s="96">
        <v>0</v>
      </c>
    </row>
    <row r="60" spans="1:15" x14ac:dyDescent="0.25">
      <c r="A60" s="216"/>
      <c r="B60" s="94" t="s">
        <v>92</v>
      </c>
      <c r="C60" s="95">
        <v>0</v>
      </c>
      <c r="D60" s="83">
        <v>0</v>
      </c>
      <c r="E60" s="83">
        <v>0</v>
      </c>
      <c r="F60" s="83">
        <v>0</v>
      </c>
      <c r="G60" s="83">
        <v>0</v>
      </c>
      <c r="H60" s="83">
        <v>0</v>
      </c>
      <c r="I60" s="83">
        <v>0</v>
      </c>
      <c r="J60" s="83">
        <v>0</v>
      </c>
      <c r="K60" s="83">
        <v>0</v>
      </c>
      <c r="L60" s="83">
        <v>0</v>
      </c>
      <c r="M60" s="83">
        <v>0</v>
      </c>
      <c r="N60" s="83">
        <v>0</v>
      </c>
      <c r="O60" s="96">
        <v>0</v>
      </c>
    </row>
    <row r="61" spans="1:15" x14ac:dyDescent="0.25">
      <c r="A61" s="84" t="s">
        <v>22</v>
      </c>
      <c r="B61" s="84" t="s">
        <v>71</v>
      </c>
      <c r="C61" s="91">
        <v>15512.445531494941</v>
      </c>
      <c r="D61" s="92">
        <v>15700.371633748735</v>
      </c>
      <c r="E61" s="92">
        <v>15039.782910674794</v>
      </c>
      <c r="F61" s="92">
        <v>13764.163307497531</v>
      </c>
      <c r="G61" s="92">
        <v>16195.813176054191</v>
      </c>
      <c r="H61" s="92">
        <v>19931.556299644748</v>
      </c>
      <c r="I61" s="92">
        <v>20324.492695266315</v>
      </c>
      <c r="J61" s="92">
        <v>21446.354578417751</v>
      </c>
      <c r="K61" s="92">
        <v>19680.98816330636</v>
      </c>
      <c r="L61" s="92">
        <v>16002.192343429069</v>
      </c>
      <c r="M61" s="92">
        <v>14231.131197946352</v>
      </c>
      <c r="N61" s="92">
        <v>14419.057300200144</v>
      </c>
      <c r="O61" s="93">
        <v>202248.34913768093</v>
      </c>
    </row>
    <row r="62" spans="1:15" ht="13" x14ac:dyDescent="0.3">
      <c r="A62" s="216"/>
      <c r="B62" s="94" t="s">
        <v>25</v>
      </c>
      <c r="C62" s="231">
        <v>332.42401711739512</v>
      </c>
      <c r="D62" s="232">
        <v>336.45118032035862</v>
      </c>
      <c r="E62" s="232">
        <v>322.29509148569741</v>
      </c>
      <c r="F62" s="232">
        <v>294.95919580497139</v>
      </c>
      <c r="G62" s="232">
        <v>347.06824694635543</v>
      </c>
      <c r="H62" s="232">
        <v>427.1233700113371</v>
      </c>
      <c r="I62" s="232">
        <v>435.54380216298887</v>
      </c>
      <c r="J62" s="232">
        <v>459.58474613220096</v>
      </c>
      <c r="K62" s="232">
        <v>421.75381907405244</v>
      </c>
      <c r="L62" s="232">
        <v>342.9190484948158</v>
      </c>
      <c r="M62" s="232">
        <v>304.9660861880966</v>
      </c>
      <c r="N62" s="232">
        <v>308.99324939105827</v>
      </c>
      <c r="O62" s="233">
        <v>4334.081853129328</v>
      </c>
    </row>
    <row r="63" spans="1:15" ht="13" x14ac:dyDescent="0.3">
      <c r="A63" s="216"/>
      <c r="B63" s="94" t="s">
        <v>26</v>
      </c>
      <c r="C63" s="231">
        <v>27.270163957490816</v>
      </c>
      <c r="D63" s="232">
        <v>27.600529379883326</v>
      </c>
      <c r="E63" s="232">
        <v>26.439244864806625</v>
      </c>
      <c r="F63" s="232">
        <v>24.196764421899889</v>
      </c>
      <c r="G63" s="232">
        <v>28.471492766190849</v>
      </c>
      <c r="H63" s="232">
        <v>35.038756920417711</v>
      </c>
      <c r="I63" s="232">
        <v>35.729520985420237</v>
      </c>
      <c r="J63" s="232">
        <v>37.70170244636946</v>
      </c>
      <c r="K63" s="232">
        <v>34.59826969056104</v>
      </c>
      <c r="L63" s="232">
        <v>28.131116270392507</v>
      </c>
      <c r="M63" s="232">
        <v>25.017672441178249</v>
      </c>
      <c r="N63" s="232">
        <v>25.348037863570756</v>
      </c>
      <c r="O63" s="233">
        <v>355.54327200818148</v>
      </c>
    </row>
    <row r="64" spans="1:15" ht="13" x14ac:dyDescent="0.3">
      <c r="A64" s="216"/>
      <c r="B64" s="94" t="s">
        <v>27</v>
      </c>
      <c r="C64" s="231">
        <v>359.69418107488593</v>
      </c>
      <c r="D64" s="232">
        <v>364.05170970024193</v>
      </c>
      <c r="E64" s="232">
        <v>348.73433635050401</v>
      </c>
      <c r="F64" s="232">
        <v>319.15596022687129</v>
      </c>
      <c r="G64" s="232">
        <v>375.53973971254629</v>
      </c>
      <c r="H64" s="232">
        <v>462.16212693175481</v>
      </c>
      <c r="I64" s="232">
        <v>471.27332314840908</v>
      </c>
      <c r="J64" s="232">
        <v>497.2864485785704</v>
      </c>
      <c r="K64" s="232">
        <v>456.35208876461348</v>
      </c>
      <c r="L64" s="232">
        <v>371.05016476520831</v>
      </c>
      <c r="M64" s="232">
        <v>329.98375862927486</v>
      </c>
      <c r="N64" s="232">
        <v>334.34128725462904</v>
      </c>
      <c r="O64" s="233">
        <v>4689.6251251375088</v>
      </c>
    </row>
    <row r="65" spans="1:15" x14ac:dyDescent="0.25">
      <c r="A65" s="216"/>
      <c r="B65" s="94" t="s">
        <v>50</v>
      </c>
      <c r="C65" s="95">
        <v>15180.021514377546</v>
      </c>
      <c r="D65" s="83">
        <v>15363.920453428376</v>
      </c>
      <c r="E65" s="83">
        <v>14717.487819189097</v>
      </c>
      <c r="F65" s="83">
        <v>13469.204111692559</v>
      </c>
      <c r="G65" s="83">
        <v>15848.744929107836</v>
      </c>
      <c r="H65" s="83">
        <v>19504.432929633411</v>
      </c>
      <c r="I65" s="83">
        <v>19888.948893103327</v>
      </c>
      <c r="J65" s="83">
        <v>20986.76983228555</v>
      </c>
      <c r="K65" s="83">
        <v>19259.234344232307</v>
      </c>
      <c r="L65" s="83">
        <v>15659.273294934253</v>
      </c>
      <c r="M65" s="83">
        <v>13926.165111758255</v>
      </c>
      <c r="N65" s="83">
        <v>14110.064050809086</v>
      </c>
      <c r="O65" s="96">
        <v>197914.26728455158</v>
      </c>
    </row>
    <row r="66" spans="1:15" x14ac:dyDescent="0.25">
      <c r="A66" s="216"/>
      <c r="B66" s="94" t="s">
        <v>90</v>
      </c>
      <c r="C66" s="95">
        <v>0</v>
      </c>
      <c r="D66" s="83">
        <v>0</v>
      </c>
      <c r="E66" s="83">
        <v>0</v>
      </c>
      <c r="F66" s="83">
        <v>0</v>
      </c>
      <c r="G66" s="83">
        <v>0</v>
      </c>
      <c r="H66" s="83">
        <v>0</v>
      </c>
      <c r="I66" s="83">
        <v>0</v>
      </c>
      <c r="J66" s="83">
        <v>0</v>
      </c>
      <c r="K66" s="83">
        <v>0</v>
      </c>
      <c r="L66" s="83">
        <v>0</v>
      </c>
      <c r="M66" s="83">
        <v>0</v>
      </c>
      <c r="N66" s="83">
        <v>0</v>
      </c>
      <c r="O66" s="96">
        <v>0</v>
      </c>
    </row>
    <row r="67" spans="1:15" x14ac:dyDescent="0.25">
      <c r="A67" s="216"/>
      <c r="B67" s="94" t="s">
        <v>92</v>
      </c>
      <c r="C67" s="95">
        <v>0</v>
      </c>
      <c r="D67" s="83">
        <v>0</v>
      </c>
      <c r="E67" s="83">
        <v>0</v>
      </c>
      <c r="F67" s="83">
        <v>0</v>
      </c>
      <c r="G67" s="83">
        <v>0</v>
      </c>
      <c r="H67" s="83">
        <v>0</v>
      </c>
      <c r="I67" s="83">
        <v>0</v>
      </c>
      <c r="J67" s="83">
        <v>0</v>
      </c>
      <c r="K67" s="83">
        <v>0</v>
      </c>
      <c r="L67" s="83">
        <v>0</v>
      </c>
      <c r="M67" s="83">
        <v>0</v>
      </c>
      <c r="N67" s="83">
        <v>0</v>
      </c>
      <c r="O67" s="96">
        <v>0</v>
      </c>
    </row>
    <row r="68" spans="1:15" x14ac:dyDescent="0.25">
      <c r="A68" s="84" t="s">
        <v>9</v>
      </c>
      <c r="B68" s="84" t="s">
        <v>71</v>
      </c>
      <c r="C68" s="91">
        <v>301.82070968033474</v>
      </c>
      <c r="D68" s="92">
        <v>313.21017042298894</v>
      </c>
      <c r="E68" s="92">
        <v>261.95759708104526</v>
      </c>
      <c r="F68" s="92">
        <v>187.92610225379335</v>
      </c>
      <c r="G68" s="92">
        <v>250.56813633839113</v>
      </c>
      <c r="H68" s="92">
        <v>313.21017042298894</v>
      </c>
      <c r="I68" s="92">
        <v>324.59963116564307</v>
      </c>
      <c r="J68" s="92">
        <v>318.90490079431601</v>
      </c>
      <c r="K68" s="92">
        <v>341.68382227962428</v>
      </c>
      <c r="L68" s="92">
        <v>273.3470578236994</v>
      </c>
      <c r="M68" s="92">
        <v>307.51544005166187</v>
      </c>
      <c r="N68" s="92">
        <v>313.21017042298894</v>
      </c>
      <c r="O68" s="93">
        <v>3507.9539087374756</v>
      </c>
    </row>
    <row r="69" spans="1:15" ht="13" x14ac:dyDescent="0.3">
      <c r="A69" s="216"/>
      <c r="B69" s="94" t="s">
        <v>25</v>
      </c>
      <c r="C69" s="231">
        <v>6.467868174457351</v>
      </c>
      <c r="D69" s="232">
        <v>6.7119386716067311</v>
      </c>
      <c r="E69" s="232">
        <v>5.6136214344347195</v>
      </c>
      <c r="F69" s="232">
        <v>4.027163202964033</v>
      </c>
      <c r="G69" s="232">
        <v>5.3695509372853962</v>
      </c>
      <c r="H69" s="232">
        <v>6.7119386716067311</v>
      </c>
      <c r="I69" s="232">
        <v>6.9560091687561112</v>
      </c>
      <c r="J69" s="232">
        <v>6.8339739201814496</v>
      </c>
      <c r="K69" s="232">
        <v>7.3221149144800961</v>
      </c>
      <c r="L69" s="232">
        <v>5.8576919315840428</v>
      </c>
      <c r="M69" s="232">
        <v>6.5899034230320694</v>
      </c>
      <c r="N69" s="232">
        <v>6.7119386716067311</v>
      </c>
      <c r="O69" s="233">
        <v>75.173713121995462</v>
      </c>
    </row>
    <row r="70" spans="1:15" ht="13" x14ac:dyDescent="0.3">
      <c r="A70" s="216"/>
      <c r="B70" s="94" t="s">
        <v>26</v>
      </c>
      <c r="C70" s="231">
        <v>0.53058689050918262</v>
      </c>
      <c r="D70" s="232">
        <v>0.55060903732084987</v>
      </c>
      <c r="E70" s="232">
        <v>0.46050937666834713</v>
      </c>
      <c r="F70" s="232">
        <v>0.33036542239250988</v>
      </c>
      <c r="G70" s="232">
        <v>0.44048722985667987</v>
      </c>
      <c r="H70" s="232">
        <v>0.55060903732084987</v>
      </c>
      <c r="I70" s="232">
        <v>0.57063118413251712</v>
      </c>
      <c r="J70" s="232">
        <v>0.5606201107266835</v>
      </c>
      <c r="K70" s="232">
        <v>0.600664404350018</v>
      </c>
      <c r="L70" s="232">
        <v>0.48053152348001438</v>
      </c>
      <c r="M70" s="232">
        <v>0.54059796391501624</v>
      </c>
      <c r="N70" s="232">
        <v>0.55060903732084987</v>
      </c>
      <c r="O70" s="233">
        <v>6.166821217993518</v>
      </c>
    </row>
    <row r="71" spans="1:15" ht="13" x14ac:dyDescent="0.3">
      <c r="A71" s="216"/>
      <c r="B71" s="94" t="s">
        <v>27</v>
      </c>
      <c r="C71" s="231">
        <v>6.9984550649665334</v>
      </c>
      <c r="D71" s="232">
        <v>7.2625477089275812</v>
      </c>
      <c r="E71" s="232">
        <v>6.0741308111030667</v>
      </c>
      <c r="F71" s="232">
        <v>4.3575286253565428</v>
      </c>
      <c r="G71" s="232">
        <v>5.8100381671420758</v>
      </c>
      <c r="H71" s="232">
        <v>7.2625477089275812</v>
      </c>
      <c r="I71" s="232">
        <v>7.5266403528886281</v>
      </c>
      <c r="J71" s="232">
        <v>7.3945940309081326</v>
      </c>
      <c r="K71" s="232">
        <v>7.9227793188301145</v>
      </c>
      <c r="L71" s="232">
        <v>6.3382234550640568</v>
      </c>
      <c r="M71" s="232">
        <v>7.1305013869470857</v>
      </c>
      <c r="N71" s="232">
        <v>7.2625477089275812</v>
      </c>
      <c r="O71" s="233">
        <v>81.340534339988992</v>
      </c>
    </row>
    <row r="72" spans="1:15" x14ac:dyDescent="0.25">
      <c r="A72" s="216"/>
      <c r="B72" s="94" t="s">
        <v>50</v>
      </c>
      <c r="C72" s="95">
        <v>295.35284150587739</v>
      </c>
      <c r="D72" s="83">
        <v>306.49823175138221</v>
      </c>
      <c r="E72" s="83">
        <v>256.34397564661055</v>
      </c>
      <c r="F72" s="83">
        <v>183.89893905082931</v>
      </c>
      <c r="G72" s="83">
        <v>245.19858540110573</v>
      </c>
      <c r="H72" s="83">
        <v>306.49823175138221</v>
      </c>
      <c r="I72" s="83">
        <v>317.64362199688696</v>
      </c>
      <c r="J72" s="83">
        <v>312.07092687413456</v>
      </c>
      <c r="K72" s="83">
        <v>334.36170736514418</v>
      </c>
      <c r="L72" s="83">
        <v>267.48936589211536</v>
      </c>
      <c r="M72" s="83">
        <v>300.9255366286298</v>
      </c>
      <c r="N72" s="83">
        <v>306.49823175138221</v>
      </c>
      <c r="O72" s="96">
        <v>3432.7801956154808</v>
      </c>
    </row>
    <row r="73" spans="1:15" x14ac:dyDescent="0.25">
      <c r="A73" s="216"/>
      <c r="B73" s="94" t="s">
        <v>90</v>
      </c>
      <c r="C73" s="95">
        <v>0</v>
      </c>
      <c r="D73" s="83">
        <v>0</v>
      </c>
      <c r="E73" s="83">
        <v>0</v>
      </c>
      <c r="F73" s="83">
        <v>0</v>
      </c>
      <c r="G73" s="83">
        <v>0</v>
      </c>
      <c r="H73" s="83">
        <v>0</v>
      </c>
      <c r="I73" s="83">
        <v>0</v>
      </c>
      <c r="J73" s="83">
        <v>0</v>
      </c>
      <c r="K73" s="83">
        <v>0</v>
      </c>
      <c r="L73" s="83">
        <v>0</v>
      </c>
      <c r="M73" s="83">
        <v>0</v>
      </c>
      <c r="N73" s="83">
        <v>0</v>
      </c>
      <c r="O73" s="96">
        <v>0</v>
      </c>
    </row>
    <row r="74" spans="1:15" x14ac:dyDescent="0.25">
      <c r="A74" s="216"/>
      <c r="B74" s="94" t="s">
        <v>92</v>
      </c>
      <c r="C74" s="95">
        <v>0</v>
      </c>
      <c r="D74" s="83">
        <v>0</v>
      </c>
      <c r="E74" s="83">
        <v>0</v>
      </c>
      <c r="F74" s="83">
        <v>0</v>
      </c>
      <c r="G74" s="83">
        <v>0</v>
      </c>
      <c r="H74" s="83">
        <v>0</v>
      </c>
      <c r="I74" s="83">
        <v>0</v>
      </c>
      <c r="J74" s="83">
        <v>0</v>
      </c>
      <c r="K74" s="83">
        <v>0</v>
      </c>
      <c r="L74" s="83">
        <v>0</v>
      </c>
      <c r="M74" s="83">
        <v>0</v>
      </c>
      <c r="N74" s="83">
        <v>0</v>
      </c>
      <c r="O74" s="96">
        <v>0</v>
      </c>
    </row>
    <row r="75" spans="1:15" x14ac:dyDescent="0.25">
      <c r="A75" s="84" t="s">
        <v>55</v>
      </c>
      <c r="B75" s="84" t="s">
        <v>71</v>
      </c>
      <c r="C75" s="91">
        <v>643.50453195995908</v>
      </c>
      <c r="D75" s="92">
        <v>615.03088010332374</v>
      </c>
      <c r="E75" s="92">
        <v>546.6941156473988</v>
      </c>
      <c r="F75" s="92">
        <v>518.22046379076346</v>
      </c>
      <c r="G75" s="92">
        <v>711.8412964158839</v>
      </c>
      <c r="H75" s="92">
        <v>951.01997201162089</v>
      </c>
      <c r="I75" s="92">
        <v>911.15685941233141</v>
      </c>
      <c r="J75" s="92">
        <v>1030.7461972101999</v>
      </c>
      <c r="K75" s="92">
        <v>894.07266829835021</v>
      </c>
      <c r="L75" s="92">
        <v>671.97818381659442</v>
      </c>
      <c r="M75" s="92">
        <v>580.86249787536121</v>
      </c>
      <c r="N75" s="92">
        <v>563.77830676138001</v>
      </c>
      <c r="O75" s="93">
        <v>8638.9059733031681</v>
      </c>
    </row>
    <row r="76" spans="1:15" x14ac:dyDescent="0.25">
      <c r="A76" s="216"/>
      <c r="B76" s="94" t="s">
        <v>25</v>
      </c>
      <c r="C76" s="95">
        <v>13.789983088937561</v>
      </c>
      <c r="D76" s="83">
        <v>13.179806846064139</v>
      </c>
      <c r="E76" s="83">
        <v>11.715383863168086</v>
      </c>
      <c r="F76" s="83">
        <v>11.105207620294777</v>
      </c>
      <c r="G76" s="83">
        <v>15.2544060718335</v>
      </c>
      <c r="H76" s="83">
        <v>20.379886511969517</v>
      </c>
      <c r="I76" s="83">
        <v>19.525639771946885</v>
      </c>
      <c r="J76" s="83">
        <v>22.088379992014893</v>
      </c>
      <c r="K76" s="83">
        <v>19.1595340262229</v>
      </c>
      <c r="L76" s="83">
        <v>14.400159331810869</v>
      </c>
      <c r="M76" s="83">
        <v>12.447595354616055</v>
      </c>
      <c r="N76" s="83">
        <v>12.08148960889207</v>
      </c>
      <c r="O76" s="96">
        <v>185.12747208777125</v>
      </c>
    </row>
    <row r="77" spans="1:15" x14ac:dyDescent="0.25">
      <c r="A77" s="216"/>
      <c r="B77" s="94" t="s">
        <v>26</v>
      </c>
      <c r="C77" s="95">
        <v>1.1312512948592004</v>
      </c>
      <c r="D77" s="83">
        <v>1.0811959278300325</v>
      </c>
      <c r="E77" s="83">
        <v>0.96106304696002876</v>
      </c>
      <c r="F77" s="83">
        <v>0.91100767993086063</v>
      </c>
      <c r="G77" s="83">
        <v>1.2513841757292041</v>
      </c>
      <c r="H77" s="83">
        <v>1.6718492587742166</v>
      </c>
      <c r="I77" s="83">
        <v>1.6017717449333813</v>
      </c>
      <c r="J77" s="83">
        <v>1.8120042864558874</v>
      </c>
      <c r="K77" s="83">
        <v>1.5717385247158804</v>
      </c>
      <c r="L77" s="83">
        <v>1.1813066618883687</v>
      </c>
      <c r="M77" s="83">
        <v>1.0211294873950305</v>
      </c>
      <c r="N77" s="83">
        <v>0.99109626717752974</v>
      </c>
      <c r="O77" s="96">
        <v>15.186798356649623</v>
      </c>
    </row>
    <row r="78" spans="1:15" x14ac:dyDescent="0.25">
      <c r="A78" s="216"/>
      <c r="B78" s="94" t="s">
        <v>27</v>
      </c>
      <c r="C78" s="95">
        <v>14.921234383796762</v>
      </c>
      <c r="D78" s="83">
        <v>14.261002773894171</v>
      </c>
      <c r="E78" s="83">
        <v>12.676446910128114</v>
      </c>
      <c r="F78" s="83">
        <v>12.016215300225639</v>
      </c>
      <c r="G78" s="83">
        <v>16.505790247562704</v>
      </c>
      <c r="H78" s="83">
        <v>22.051735770743733</v>
      </c>
      <c r="I78" s="83">
        <v>21.127411516880265</v>
      </c>
      <c r="J78" s="83">
        <v>23.900384278470781</v>
      </c>
      <c r="K78" s="83">
        <v>20.73127255093878</v>
      </c>
      <c r="L78" s="83">
        <v>15.581465993699238</v>
      </c>
      <c r="M78" s="83">
        <v>13.468724842011087</v>
      </c>
      <c r="N78" s="83">
        <v>13.072585876069601</v>
      </c>
      <c r="O78" s="96">
        <v>200.31427044442088</v>
      </c>
    </row>
    <row r="79" spans="1:15" x14ac:dyDescent="0.25">
      <c r="A79" s="216"/>
      <c r="B79" s="94" t="s">
        <v>50</v>
      </c>
      <c r="C79" s="95">
        <v>629.71454887102152</v>
      </c>
      <c r="D79" s="83">
        <v>601.8510732572596</v>
      </c>
      <c r="E79" s="83">
        <v>534.97873178423072</v>
      </c>
      <c r="F79" s="83">
        <v>507.11525617046868</v>
      </c>
      <c r="G79" s="83">
        <v>696.5868903440504</v>
      </c>
      <c r="H79" s="83">
        <v>930.64008549965138</v>
      </c>
      <c r="I79" s="83">
        <v>891.63121964038453</v>
      </c>
      <c r="J79" s="83">
        <v>1008.657817218185</v>
      </c>
      <c r="K79" s="83">
        <v>874.91313427212731</v>
      </c>
      <c r="L79" s="83">
        <v>657.57802448478355</v>
      </c>
      <c r="M79" s="83">
        <v>568.41490252074516</v>
      </c>
      <c r="N79" s="83">
        <v>551.69681715248794</v>
      </c>
      <c r="O79" s="96">
        <v>8453.7785012153963</v>
      </c>
    </row>
    <row r="80" spans="1:15" x14ac:dyDescent="0.25">
      <c r="A80" s="216"/>
      <c r="B80" s="94" t="s">
        <v>90</v>
      </c>
      <c r="C80" s="95">
        <v>0</v>
      </c>
      <c r="D80" s="83">
        <v>0</v>
      </c>
      <c r="E80" s="83">
        <v>0</v>
      </c>
      <c r="F80" s="83">
        <v>0</v>
      </c>
      <c r="G80" s="83">
        <v>0</v>
      </c>
      <c r="H80" s="83">
        <v>0</v>
      </c>
      <c r="I80" s="83">
        <v>0</v>
      </c>
      <c r="J80" s="83">
        <v>0</v>
      </c>
      <c r="K80" s="83">
        <v>0</v>
      </c>
      <c r="L80" s="83">
        <v>0</v>
      </c>
      <c r="M80" s="83">
        <v>0</v>
      </c>
      <c r="N80" s="83">
        <v>0</v>
      </c>
      <c r="O80" s="96">
        <v>0</v>
      </c>
    </row>
    <row r="81" spans="1:15" x14ac:dyDescent="0.25">
      <c r="A81" s="216"/>
      <c r="B81" s="94" t="s">
        <v>92</v>
      </c>
      <c r="C81" s="95">
        <v>0</v>
      </c>
      <c r="D81" s="83">
        <v>0</v>
      </c>
      <c r="E81" s="83">
        <v>0</v>
      </c>
      <c r="F81" s="83">
        <v>0</v>
      </c>
      <c r="G81" s="83">
        <v>0</v>
      </c>
      <c r="H81" s="83">
        <v>0</v>
      </c>
      <c r="I81" s="83">
        <v>0</v>
      </c>
      <c r="J81" s="83">
        <v>0</v>
      </c>
      <c r="K81" s="83">
        <v>0</v>
      </c>
      <c r="L81" s="83">
        <v>0</v>
      </c>
      <c r="M81" s="83">
        <v>0</v>
      </c>
      <c r="N81" s="83">
        <v>0</v>
      </c>
      <c r="O81" s="96">
        <v>0</v>
      </c>
    </row>
    <row r="82" spans="1:15" x14ac:dyDescent="0.25">
      <c r="A82" s="84" t="s">
        <v>56</v>
      </c>
      <c r="B82" s="84" t="s">
        <v>71</v>
      </c>
      <c r="C82" s="91">
        <v>39.863112599289501</v>
      </c>
      <c r="D82" s="92">
        <v>56.947303713270713</v>
      </c>
      <c r="E82" s="92">
        <v>45.557842970616569</v>
      </c>
      <c r="F82" s="92">
        <v>45.557842970616569</v>
      </c>
      <c r="G82" s="92">
        <v>56.947303713270713</v>
      </c>
      <c r="H82" s="92">
        <v>68.33676445592485</v>
      </c>
      <c r="I82" s="92">
        <v>79.726225198579002</v>
      </c>
      <c r="J82" s="92">
        <v>74.031494827251919</v>
      </c>
      <c r="K82" s="92">
        <v>74.031494827251919</v>
      </c>
      <c r="L82" s="92">
        <v>62.642034084597782</v>
      </c>
      <c r="M82" s="92">
        <v>39.863112599289501</v>
      </c>
      <c r="N82" s="92">
        <v>45.557842970616569</v>
      </c>
      <c r="O82" s="93">
        <v>689.06237493057552</v>
      </c>
    </row>
    <row r="83" spans="1:15" x14ac:dyDescent="0.25">
      <c r="A83" s="216"/>
      <c r="B83" s="94" t="s">
        <v>25</v>
      </c>
      <c r="C83" s="95">
        <v>0.85424674002268119</v>
      </c>
      <c r="D83" s="83">
        <v>1.2203524857466803</v>
      </c>
      <c r="E83" s="83">
        <v>0.97628198859734283</v>
      </c>
      <c r="F83" s="83">
        <v>0.97628198859734283</v>
      </c>
      <c r="G83" s="83">
        <v>1.2203524857466803</v>
      </c>
      <c r="H83" s="83">
        <v>1.4644229828960107</v>
      </c>
      <c r="I83" s="83">
        <v>1.7084934800453624</v>
      </c>
      <c r="J83" s="83">
        <v>1.5864582314706723</v>
      </c>
      <c r="K83" s="83">
        <v>1.5864582314706723</v>
      </c>
      <c r="L83" s="83">
        <v>1.3423877343213491</v>
      </c>
      <c r="M83" s="83">
        <v>0.85424674002268119</v>
      </c>
      <c r="N83" s="83">
        <v>0.97628198859734283</v>
      </c>
      <c r="O83" s="96">
        <v>14.766265077534818</v>
      </c>
    </row>
    <row r="84" spans="1:15" x14ac:dyDescent="0.25">
      <c r="A84" s="216"/>
      <c r="B84" s="94" t="s">
        <v>26</v>
      </c>
      <c r="C84" s="95">
        <v>7.0077513840835437E-2</v>
      </c>
      <c r="D84" s="83">
        <v>0.10011073405833633</v>
      </c>
      <c r="E84" s="83">
        <v>8.0088587246669049E-2</v>
      </c>
      <c r="F84" s="83">
        <v>8.0088587246669049E-2</v>
      </c>
      <c r="G84" s="83">
        <v>0.10011073405833633</v>
      </c>
      <c r="H84" s="83">
        <v>0.12013288087000359</v>
      </c>
      <c r="I84" s="83">
        <v>0.14015502768167087</v>
      </c>
      <c r="J84" s="83">
        <v>0.13014395427583722</v>
      </c>
      <c r="K84" s="83">
        <v>0.13014395427583722</v>
      </c>
      <c r="L84" s="83">
        <v>0.11012180746416997</v>
      </c>
      <c r="M84" s="83">
        <v>7.0077513840835437E-2</v>
      </c>
      <c r="N84" s="83">
        <v>8.0088587246669049E-2</v>
      </c>
      <c r="O84" s="96">
        <v>1.2113398821058694</v>
      </c>
    </row>
    <row r="85" spans="1:15" x14ac:dyDescent="0.25">
      <c r="A85" s="216"/>
      <c r="B85" s="94" t="s">
        <v>27</v>
      </c>
      <c r="C85" s="95">
        <v>0.92432425386351658</v>
      </c>
      <c r="D85" s="83">
        <v>1.3204632198050166</v>
      </c>
      <c r="E85" s="83">
        <v>1.0563705758440118</v>
      </c>
      <c r="F85" s="83">
        <v>1.0563705758440118</v>
      </c>
      <c r="G85" s="83">
        <v>1.3204632198050166</v>
      </c>
      <c r="H85" s="83">
        <v>1.5845558637660142</v>
      </c>
      <c r="I85" s="83">
        <v>1.8486485077270332</v>
      </c>
      <c r="J85" s="83">
        <v>1.7166021857465095</v>
      </c>
      <c r="K85" s="83">
        <v>1.7166021857465095</v>
      </c>
      <c r="L85" s="83">
        <v>1.4525095417855189</v>
      </c>
      <c r="M85" s="83">
        <v>0.92432425386351658</v>
      </c>
      <c r="N85" s="83">
        <v>1.0563705758440118</v>
      </c>
      <c r="O85" s="96">
        <v>15.977604959640688</v>
      </c>
    </row>
    <row r="86" spans="1:15" x14ac:dyDescent="0.25">
      <c r="A86" s="216"/>
      <c r="B86" s="94" t="s">
        <v>50</v>
      </c>
      <c r="C86" s="95">
        <v>39.00886585926682</v>
      </c>
      <c r="D86" s="83">
        <v>55.726951227524033</v>
      </c>
      <c r="E86" s="83">
        <v>44.581560982019226</v>
      </c>
      <c r="F86" s="83">
        <v>44.581560982019226</v>
      </c>
      <c r="G86" s="83">
        <v>55.726951227524033</v>
      </c>
      <c r="H86" s="83">
        <v>66.87234147302884</v>
      </c>
      <c r="I86" s="83">
        <v>78.017731718533639</v>
      </c>
      <c r="J86" s="83">
        <v>72.445036595781247</v>
      </c>
      <c r="K86" s="83">
        <v>72.445036595781247</v>
      </c>
      <c r="L86" s="83">
        <v>61.299646350276433</v>
      </c>
      <c r="M86" s="83">
        <v>39.00886585926682</v>
      </c>
      <c r="N86" s="83">
        <v>44.581560982019226</v>
      </c>
      <c r="O86" s="96">
        <v>674.29610985304089</v>
      </c>
    </row>
    <row r="87" spans="1:15" x14ac:dyDescent="0.25">
      <c r="A87" s="216"/>
      <c r="B87" s="94" t="s">
        <v>90</v>
      </c>
      <c r="C87" s="95">
        <v>0</v>
      </c>
      <c r="D87" s="83">
        <v>0</v>
      </c>
      <c r="E87" s="83">
        <v>0</v>
      </c>
      <c r="F87" s="83">
        <v>0</v>
      </c>
      <c r="G87" s="83">
        <v>0</v>
      </c>
      <c r="H87" s="83">
        <v>0</v>
      </c>
      <c r="I87" s="83">
        <v>0</v>
      </c>
      <c r="J87" s="83">
        <v>0</v>
      </c>
      <c r="K87" s="83">
        <v>0</v>
      </c>
      <c r="L87" s="83">
        <v>0</v>
      </c>
      <c r="M87" s="83">
        <v>0</v>
      </c>
      <c r="N87" s="83">
        <v>0</v>
      </c>
      <c r="O87" s="96">
        <v>0</v>
      </c>
    </row>
    <row r="88" spans="1:15" x14ac:dyDescent="0.25">
      <c r="A88" s="216"/>
      <c r="B88" s="94" t="s">
        <v>92</v>
      </c>
      <c r="C88" s="95">
        <v>0</v>
      </c>
      <c r="D88" s="83">
        <v>0</v>
      </c>
      <c r="E88" s="83">
        <v>0</v>
      </c>
      <c r="F88" s="83">
        <v>0</v>
      </c>
      <c r="G88" s="83">
        <v>0</v>
      </c>
      <c r="H88" s="83">
        <v>0</v>
      </c>
      <c r="I88" s="83">
        <v>0</v>
      </c>
      <c r="J88" s="83">
        <v>0</v>
      </c>
      <c r="K88" s="83">
        <v>0</v>
      </c>
      <c r="L88" s="83">
        <v>0</v>
      </c>
      <c r="M88" s="83">
        <v>0</v>
      </c>
      <c r="N88" s="83">
        <v>0</v>
      </c>
      <c r="O88" s="96">
        <v>0</v>
      </c>
    </row>
    <row r="89" spans="1:15" x14ac:dyDescent="0.25">
      <c r="A89" s="84" t="s">
        <v>57</v>
      </c>
      <c r="B89" s="84" t="s">
        <v>71</v>
      </c>
      <c r="C89" s="91">
        <v>119.5893377978685</v>
      </c>
      <c r="D89" s="92">
        <v>119.5893377978685</v>
      </c>
      <c r="E89" s="92">
        <v>108.19987705521436</v>
      </c>
      <c r="F89" s="92">
        <v>119.5893377978685</v>
      </c>
      <c r="G89" s="92">
        <v>159.452450397158</v>
      </c>
      <c r="H89" s="92">
        <v>210.70502373910162</v>
      </c>
      <c r="I89" s="92">
        <v>216.39975411042872</v>
      </c>
      <c r="J89" s="92">
        <v>227.78921485308285</v>
      </c>
      <c r="K89" s="92">
        <v>210.70502373910162</v>
      </c>
      <c r="L89" s="92">
        <v>170.84191113981214</v>
      </c>
      <c r="M89" s="92">
        <v>108.19987705521436</v>
      </c>
      <c r="N89" s="92">
        <v>113.89460742654143</v>
      </c>
      <c r="O89" s="93">
        <v>1884.9557529092604</v>
      </c>
    </row>
    <row r="90" spans="1:15" x14ac:dyDescent="0.25">
      <c r="A90" s="216"/>
      <c r="B90" s="94" t="s">
        <v>25</v>
      </c>
      <c r="C90" s="95">
        <v>2.5627402200680223</v>
      </c>
      <c r="D90" s="83">
        <v>2.5627402200680223</v>
      </c>
      <c r="E90" s="83">
        <v>2.318669722918699</v>
      </c>
      <c r="F90" s="83">
        <v>2.5627402200680223</v>
      </c>
      <c r="G90" s="83">
        <v>3.4169869600907248</v>
      </c>
      <c r="H90" s="83">
        <v>4.5153041972627079</v>
      </c>
      <c r="I90" s="83">
        <v>4.637339445837398</v>
      </c>
      <c r="J90" s="83">
        <v>4.8814099429867213</v>
      </c>
      <c r="K90" s="83">
        <v>4.5153041972627079</v>
      </c>
      <c r="L90" s="83">
        <v>3.6610574572400481</v>
      </c>
      <c r="M90" s="83">
        <v>2.318669722918699</v>
      </c>
      <c r="N90" s="83">
        <v>2.4407049714933606</v>
      </c>
      <c r="O90" s="96">
        <v>40.393667278215133</v>
      </c>
    </row>
    <row r="91" spans="1:15" x14ac:dyDescent="0.25">
      <c r="A91" s="216"/>
      <c r="B91" s="94" t="s">
        <v>26</v>
      </c>
      <c r="C91" s="95">
        <v>0.21023254152250628</v>
      </c>
      <c r="D91" s="83">
        <v>0.21023254152250628</v>
      </c>
      <c r="E91" s="83">
        <v>0.19021039471083903</v>
      </c>
      <c r="F91" s="83">
        <v>0.21023254152250628</v>
      </c>
      <c r="G91" s="83">
        <v>0.28031005536334175</v>
      </c>
      <c r="H91" s="83">
        <v>0.37040971601584438</v>
      </c>
      <c r="I91" s="83">
        <v>0.38042078942167806</v>
      </c>
      <c r="J91" s="83">
        <v>0.40044293623334531</v>
      </c>
      <c r="K91" s="83">
        <v>0.37040971601584438</v>
      </c>
      <c r="L91" s="83">
        <v>0.300332202175009</v>
      </c>
      <c r="M91" s="83">
        <v>0.19021039471083903</v>
      </c>
      <c r="N91" s="83">
        <v>0.20022146811667266</v>
      </c>
      <c r="O91" s="96">
        <v>3.3136652973309322</v>
      </c>
    </row>
    <row r="92" spans="1:15" x14ac:dyDescent="0.25">
      <c r="A92" s="216"/>
      <c r="B92" s="94" t="s">
        <v>27</v>
      </c>
      <c r="C92" s="95">
        <v>2.7729727615905286</v>
      </c>
      <c r="D92" s="83">
        <v>2.7729727615905286</v>
      </c>
      <c r="E92" s="83">
        <v>2.5088801176295381</v>
      </c>
      <c r="F92" s="83">
        <v>2.7729727615905286</v>
      </c>
      <c r="G92" s="83">
        <v>3.6972970154540663</v>
      </c>
      <c r="H92" s="83">
        <v>4.8857139132785523</v>
      </c>
      <c r="I92" s="83">
        <v>5.0177602352590762</v>
      </c>
      <c r="J92" s="83">
        <v>5.2818528792200663</v>
      </c>
      <c r="K92" s="83">
        <v>4.8857139132785523</v>
      </c>
      <c r="L92" s="83">
        <v>3.9613896594150573</v>
      </c>
      <c r="M92" s="83">
        <v>2.5088801176295381</v>
      </c>
      <c r="N92" s="83">
        <v>2.6409264396100331</v>
      </c>
      <c r="O92" s="96">
        <v>43.707332575546062</v>
      </c>
    </row>
    <row r="93" spans="1:15" x14ac:dyDescent="0.25">
      <c r="A93" s="216"/>
      <c r="B93" s="94" t="s">
        <v>50</v>
      </c>
      <c r="C93" s="95">
        <v>117.02659757780047</v>
      </c>
      <c r="D93" s="83">
        <v>117.02659757780047</v>
      </c>
      <c r="E93" s="83">
        <v>105.88120733229566</v>
      </c>
      <c r="F93" s="83">
        <v>117.02659757780047</v>
      </c>
      <c r="G93" s="83">
        <v>156.03546343706728</v>
      </c>
      <c r="H93" s="83">
        <v>206.18971954183891</v>
      </c>
      <c r="I93" s="83">
        <v>211.76241466459132</v>
      </c>
      <c r="J93" s="83">
        <v>222.90780491009613</v>
      </c>
      <c r="K93" s="83">
        <v>206.18971954183891</v>
      </c>
      <c r="L93" s="83">
        <v>167.18085368257209</v>
      </c>
      <c r="M93" s="83">
        <v>105.88120733229566</v>
      </c>
      <c r="N93" s="83">
        <v>111.45390245504807</v>
      </c>
      <c r="O93" s="96">
        <v>1844.5620856310452</v>
      </c>
    </row>
    <row r="94" spans="1:15" x14ac:dyDescent="0.25">
      <c r="A94" s="216"/>
      <c r="B94" s="94" t="s">
        <v>90</v>
      </c>
      <c r="C94" s="95">
        <v>0</v>
      </c>
      <c r="D94" s="83">
        <v>0</v>
      </c>
      <c r="E94" s="83">
        <v>0</v>
      </c>
      <c r="F94" s="83">
        <v>0</v>
      </c>
      <c r="G94" s="83">
        <v>0</v>
      </c>
      <c r="H94" s="83">
        <v>0</v>
      </c>
      <c r="I94" s="83">
        <v>0</v>
      </c>
      <c r="J94" s="83">
        <v>0</v>
      </c>
      <c r="K94" s="83">
        <v>0</v>
      </c>
      <c r="L94" s="83">
        <v>0</v>
      </c>
      <c r="M94" s="83">
        <v>0</v>
      </c>
      <c r="N94" s="83">
        <v>0</v>
      </c>
      <c r="O94" s="96">
        <v>0</v>
      </c>
    </row>
    <row r="95" spans="1:15" x14ac:dyDescent="0.25">
      <c r="A95" s="216"/>
      <c r="B95" s="94" t="s">
        <v>92</v>
      </c>
      <c r="C95" s="95">
        <v>0</v>
      </c>
      <c r="D95" s="83">
        <v>0</v>
      </c>
      <c r="E95" s="83">
        <v>0</v>
      </c>
      <c r="F95" s="83">
        <v>0</v>
      </c>
      <c r="G95" s="83">
        <v>0</v>
      </c>
      <c r="H95" s="83">
        <v>0</v>
      </c>
      <c r="I95" s="83">
        <v>0</v>
      </c>
      <c r="J95" s="83">
        <v>0</v>
      </c>
      <c r="K95" s="83">
        <v>0</v>
      </c>
      <c r="L95" s="83">
        <v>0</v>
      </c>
      <c r="M95" s="83">
        <v>0</v>
      </c>
      <c r="N95" s="83">
        <v>0</v>
      </c>
      <c r="O95" s="96">
        <v>0</v>
      </c>
    </row>
    <row r="96" spans="1:15" x14ac:dyDescent="0.25">
      <c r="A96" s="84" t="s">
        <v>58</v>
      </c>
      <c r="B96" s="84" t="s">
        <v>71</v>
      </c>
      <c r="C96" s="91">
        <v>205.01029336777455</v>
      </c>
      <c r="D96" s="92">
        <v>182.23137188246628</v>
      </c>
      <c r="E96" s="92">
        <v>182.23137188246628</v>
      </c>
      <c r="F96" s="92">
        <v>176.53664151113921</v>
      </c>
      <c r="G96" s="92">
        <v>216.39975411042872</v>
      </c>
      <c r="H96" s="92">
        <v>273.3470578236994</v>
      </c>
      <c r="I96" s="92">
        <v>279.04178819502647</v>
      </c>
      <c r="J96" s="92">
        <v>284.73651856635354</v>
      </c>
      <c r="K96" s="92">
        <v>267.65232745237233</v>
      </c>
      <c r="L96" s="92">
        <v>205.01029336777455</v>
      </c>
      <c r="M96" s="92">
        <v>148.06298965450384</v>
      </c>
      <c r="N96" s="92">
        <v>176.53664151113921</v>
      </c>
      <c r="O96" s="93">
        <v>2596.7970493251446</v>
      </c>
    </row>
    <row r="97" spans="1:15" x14ac:dyDescent="0.25">
      <c r="A97" s="216"/>
      <c r="B97" s="94" t="s">
        <v>25</v>
      </c>
      <c r="C97" s="95">
        <v>4.3932689486880179</v>
      </c>
      <c r="D97" s="83">
        <v>3.9051279543893713</v>
      </c>
      <c r="E97" s="83">
        <v>3.9051279543893713</v>
      </c>
      <c r="F97" s="83">
        <v>3.7830927058147097</v>
      </c>
      <c r="G97" s="83">
        <v>4.637339445837398</v>
      </c>
      <c r="H97" s="83">
        <v>5.8576919315840428</v>
      </c>
      <c r="I97" s="83">
        <v>5.9797271801587044</v>
      </c>
      <c r="J97" s="83">
        <v>6.1017624287333661</v>
      </c>
      <c r="K97" s="83">
        <v>5.7356566830093811</v>
      </c>
      <c r="L97" s="83">
        <v>4.3932689486880179</v>
      </c>
      <c r="M97" s="83">
        <v>3.1729164629413447</v>
      </c>
      <c r="N97" s="83">
        <v>3.7830927058147097</v>
      </c>
      <c r="O97" s="96">
        <v>55.648073350048435</v>
      </c>
    </row>
    <row r="98" spans="1:15" x14ac:dyDescent="0.25">
      <c r="A98" s="216"/>
      <c r="B98" s="94" t="s">
        <v>26</v>
      </c>
      <c r="C98" s="95">
        <v>0.36039864261001076</v>
      </c>
      <c r="D98" s="83">
        <v>0.3203543489866762</v>
      </c>
      <c r="E98" s="83">
        <v>0.3203543489866762</v>
      </c>
      <c r="F98" s="83">
        <v>0.31034327558084257</v>
      </c>
      <c r="G98" s="83">
        <v>0.38042078942167806</v>
      </c>
      <c r="H98" s="83">
        <v>0.48053152348001438</v>
      </c>
      <c r="I98" s="83">
        <v>0.490542596885848</v>
      </c>
      <c r="J98" s="83">
        <v>0.50055367029168163</v>
      </c>
      <c r="K98" s="83">
        <v>0.47052045007418075</v>
      </c>
      <c r="L98" s="83">
        <v>0.36039864261001076</v>
      </c>
      <c r="M98" s="83">
        <v>0.26028790855167444</v>
      </c>
      <c r="N98" s="83">
        <v>0.31034327558084257</v>
      </c>
      <c r="O98" s="96">
        <v>4.5650494730601361</v>
      </c>
    </row>
    <row r="99" spans="1:15" x14ac:dyDescent="0.25">
      <c r="A99" s="216"/>
      <c r="B99" s="94" t="s">
        <v>27</v>
      </c>
      <c r="C99" s="95">
        <v>4.7536675912980284</v>
      </c>
      <c r="D99" s="83">
        <v>4.2254823033760474</v>
      </c>
      <c r="E99" s="83">
        <v>4.2254823033760474</v>
      </c>
      <c r="F99" s="83">
        <v>4.0934359813955519</v>
      </c>
      <c r="G99" s="83">
        <v>5.0177602352590762</v>
      </c>
      <c r="H99" s="83">
        <v>6.3382234550640568</v>
      </c>
      <c r="I99" s="83">
        <v>6.4702697770445523</v>
      </c>
      <c r="J99" s="83">
        <v>6.6023160990250478</v>
      </c>
      <c r="K99" s="83">
        <v>6.2061771330835622</v>
      </c>
      <c r="L99" s="83">
        <v>4.7536675912980284</v>
      </c>
      <c r="M99" s="83">
        <v>3.4332043714930189</v>
      </c>
      <c r="N99" s="83">
        <v>4.0934359813955519</v>
      </c>
      <c r="O99" s="96">
        <v>60.213122823108563</v>
      </c>
    </row>
    <row r="100" spans="1:15" x14ac:dyDescent="0.25">
      <c r="A100" s="216"/>
      <c r="B100" s="94" t="s">
        <v>50</v>
      </c>
      <c r="C100" s="95">
        <v>200.61702441908653</v>
      </c>
      <c r="D100" s="83">
        <v>178.32624392807691</v>
      </c>
      <c r="E100" s="83">
        <v>178.32624392807691</v>
      </c>
      <c r="F100" s="83">
        <v>172.7535488053245</v>
      </c>
      <c r="G100" s="83">
        <v>211.76241466459132</v>
      </c>
      <c r="H100" s="83">
        <v>267.48936589211536</v>
      </c>
      <c r="I100" s="83">
        <v>273.06206101486777</v>
      </c>
      <c r="J100" s="83">
        <v>278.63475613762017</v>
      </c>
      <c r="K100" s="83">
        <v>261.91667076936295</v>
      </c>
      <c r="L100" s="83">
        <v>200.61702441908653</v>
      </c>
      <c r="M100" s="83">
        <v>144.89007319156249</v>
      </c>
      <c r="N100" s="83">
        <v>172.7535488053245</v>
      </c>
      <c r="O100" s="96">
        <v>2541.1489759750957</v>
      </c>
    </row>
    <row r="101" spans="1:15" x14ac:dyDescent="0.25">
      <c r="A101" s="216"/>
      <c r="B101" s="94" t="s">
        <v>90</v>
      </c>
      <c r="C101" s="95">
        <v>0</v>
      </c>
      <c r="D101" s="83">
        <v>0</v>
      </c>
      <c r="E101" s="83">
        <v>0</v>
      </c>
      <c r="F101" s="83">
        <v>0</v>
      </c>
      <c r="G101" s="83">
        <v>0</v>
      </c>
      <c r="H101" s="83">
        <v>0</v>
      </c>
      <c r="I101" s="83">
        <v>0</v>
      </c>
      <c r="J101" s="83">
        <v>0</v>
      </c>
      <c r="K101" s="83">
        <v>0</v>
      </c>
      <c r="L101" s="83">
        <v>0</v>
      </c>
      <c r="M101" s="83">
        <v>0</v>
      </c>
      <c r="N101" s="83">
        <v>0</v>
      </c>
      <c r="O101" s="96">
        <v>0</v>
      </c>
    </row>
    <row r="102" spans="1:15" x14ac:dyDescent="0.25">
      <c r="A102" s="216"/>
      <c r="B102" s="94" t="s">
        <v>92</v>
      </c>
      <c r="C102" s="95">
        <v>0</v>
      </c>
      <c r="D102" s="83">
        <v>0</v>
      </c>
      <c r="E102" s="83">
        <v>0</v>
      </c>
      <c r="F102" s="83">
        <v>0</v>
      </c>
      <c r="G102" s="83">
        <v>0</v>
      </c>
      <c r="H102" s="83">
        <v>0</v>
      </c>
      <c r="I102" s="83">
        <v>0</v>
      </c>
      <c r="J102" s="83">
        <v>0</v>
      </c>
      <c r="K102" s="83">
        <v>0</v>
      </c>
      <c r="L102" s="83">
        <v>0</v>
      </c>
      <c r="M102" s="83">
        <v>0</v>
      </c>
      <c r="N102" s="83">
        <v>0</v>
      </c>
      <c r="O102" s="96">
        <v>0</v>
      </c>
    </row>
    <row r="103" spans="1:15" x14ac:dyDescent="0.25">
      <c r="A103" s="84" t="s">
        <v>82</v>
      </c>
      <c r="B103" s="84" t="s">
        <v>71</v>
      </c>
      <c r="C103" s="91">
        <v>780.17806087180873</v>
      </c>
      <c r="D103" s="92">
        <v>751.70440901517338</v>
      </c>
      <c r="E103" s="92">
        <v>842.82009495640648</v>
      </c>
      <c r="F103" s="92">
        <v>523.91519416209053</v>
      </c>
      <c r="G103" s="92">
        <v>592.25195861801535</v>
      </c>
      <c r="H103" s="92">
        <v>888.37793792702314</v>
      </c>
      <c r="I103" s="92">
        <v>882.68320755569607</v>
      </c>
      <c r="J103" s="92">
        <v>905.46212904100435</v>
      </c>
      <c r="K103" s="92">
        <v>820.0411734710982</v>
      </c>
      <c r="L103" s="92">
        <v>666.28345344526736</v>
      </c>
      <c r="M103" s="92">
        <v>763.09386975782752</v>
      </c>
      <c r="N103" s="92">
        <v>825.73590384242527</v>
      </c>
      <c r="O103" s="93">
        <v>9242.5473926638369</v>
      </c>
    </row>
    <row r="104" spans="1:15" x14ac:dyDescent="0.25">
      <c r="A104" s="216"/>
      <c r="B104" s="94" t="s">
        <v>25</v>
      </c>
      <c r="C104" s="95">
        <v>16.71882905472944</v>
      </c>
      <c r="D104" s="83">
        <v>16.108652811856132</v>
      </c>
      <c r="E104" s="83">
        <v>18.061216789050832</v>
      </c>
      <c r="F104" s="83">
        <v>11.227242868869439</v>
      </c>
      <c r="G104" s="83">
        <v>12.691665851765379</v>
      </c>
      <c r="H104" s="83">
        <v>19.037498777648239</v>
      </c>
      <c r="I104" s="83">
        <v>18.915463529073577</v>
      </c>
      <c r="J104" s="83">
        <v>19.403604523372223</v>
      </c>
      <c r="K104" s="83">
        <v>17.573075794752071</v>
      </c>
      <c r="L104" s="83">
        <v>14.278124083236207</v>
      </c>
      <c r="M104" s="83">
        <v>16.352723309005455</v>
      </c>
      <c r="N104" s="83">
        <v>17.695111043326847</v>
      </c>
      <c r="O104" s="96">
        <v>198.06320843668584</v>
      </c>
    </row>
    <row r="105" spans="1:15" x14ac:dyDescent="0.25">
      <c r="A105" s="216"/>
      <c r="B105" s="94" t="s">
        <v>26</v>
      </c>
      <c r="C105" s="95">
        <v>1.3715170565992076</v>
      </c>
      <c r="D105" s="83">
        <v>1.3214616895700395</v>
      </c>
      <c r="E105" s="83">
        <v>1.4816388640633775</v>
      </c>
      <c r="F105" s="83">
        <v>0.92101875333669425</v>
      </c>
      <c r="G105" s="83">
        <v>1.0411516342066978</v>
      </c>
      <c r="H105" s="83">
        <v>1.5617274513100468</v>
      </c>
      <c r="I105" s="83">
        <v>1.5517163779042131</v>
      </c>
      <c r="J105" s="83">
        <v>1.5917606715275476</v>
      </c>
      <c r="K105" s="83">
        <v>1.441594570440043</v>
      </c>
      <c r="L105" s="83">
        <v>1.1712955884825351</v>
      </c>
      <c r="M105" s="83">
        <v>1.3414838363817068</v>
      </c>
      <c r="N105" s="83">
        <v>1.4516056438458769</v>
      </c>
      <c r="O105" s="96">
        <v>16.247972137667986</v>
      </c>
    </row>
    <row r="106" spans="1:15" x14ac:dyDescent="0.25">
      <c r="A106" s="216"/>
      <c r="B106" s="94" t="s">
        <v>27</v>
      </c>
      <c r="C106" s="95">
        <v>18.090346111328646</v>
      </c>
      <c r="D106" s="83">
        <v>17.430114501426171</v>
      </c>
      <c r="E106" s="83">
        <v>19.542855653114209</v>
      </c>
      <c r="F106" s="83">
        <v>12.148261622206133</v>
      </c>
      <c r="G106" s="83">
        <v>13.732817485972076</v>
      </c>
      <c r="H106" s="83">
        <v>20.599226228958287</v>
      </c>
      <c r="I106" s="83">
        <v>20.46717990697779</v>
      </c>
      <c r="J106" s="83">
        <v>20.995365194899772</v>
      </c>
      <c r="K106" s="83">
        <v>19.014670365192114</v>
      </c>
      <c r="L106" s="83">
        <v>15.449419671718742</v>
      </c>
      <c r="M106" s="83">
        <v>17.694207145387161</v>
      </c>
      <c r="N106" s="83">
        <v>19.146716687172724</v>
      </c>
      <c r="O106" s="96">
        <v>214.31118057435381</v>
      </c>
    </row>
    <row r="107" spans="1:15" x14ac:dyDescent="0.25">
      <c r="A107" s="216"/>
      <c r="B107" s="94" t="s">
        <v>50</v>
      </c>
      <c r="C107" s="95">
        <v>763.45923181707929</v>
      </c>
      <c r="D107" s="83">
        <v>735.59575620331725</v>
      </c>
      <c r="E107" s="83">
        <v>824.75887816735565</v>
      </c>
      <c r="F107" s="83">
        <v>512.68795129322109</v>
      </c>
      <c r="G107" s="83">
        <v>579.56029276624997</v>
      </c>
      <c r="H107" s="83">
        <v>869.3404391493749</v>
      </c>
      <c r="I107" s="83">
        <v>863.76774402662249</v>
      </c>
      <c r="J107" s="83">
        <v>886.05852451763212</v>
      </c>
      <c r="K107" s="83">
        <v>802.46809767634613</v>
      </c>
      <c r="L107" s="83">
        <v>652.00532936203115</v>
      </c>
      <c r="M107" s="83">
        <v>746.74114644882206</v>
      </c>
      <c r="N107" s="83">
        <v>808.04079279909843</v>
      </c>
      <c r="O107" s="96">
        <v>9044.4841842271508</v>
      </c>
    </row>
    <row r="108" spans="1:15" x14ac:dyDescent="0.25">
      <c r="A108" s="216"/>
      <c r="B108" s="94" t="s">
        <v>90</v>
      </c>
      <c r="C108" s="95">
        <v>0</v>
      </c>
      <c r="D108" s="83">
        <v>0</v>
      </c>
      <c r="E108" s="83">
        <v>0</v>
      </c>
      <c r="F108" s="83">
        <v>0</v>
      </c>
      <c r="G108" s="83">
        <v>0</v>
      </c>
      <c r="H108" s="83">
        <v>0</v>
      </c>
      <c r="I108" s="83">
        <v>0</v>
      </c>
      <c r="J108" s="83">
        <v>0</v>
      </c>
      <c r="K108" s="83">
        <v>0</v>
      </c>
      <c r="L108" s="83">
        <v>0</v>
      </c>
      <c r="M108" s="83">
        <v>0</v>
      </c>
      <c r="N108" s="83">
        <v>0</v>
      </c>
      <c r="O108" s="96">
        <v>0</v>
      </c>
    </row>
    <row r="109" spans="1:15" x14ac:dyDescent="0.25">
      <c r="A109" s="216"/>
      <c r="B109" s="94" t="s">
        <v>92</v>
      </c>
      <c r="C109" s="95">
        <v>0</v>
      </c>
      <c r="D109" s="83">
        <v>0</v>
      </c>
      <c r="E109" s="83">
        <v>0</v>
      </c>
      <c r="F109" s="83">
        <v>0</v>
      </c>
      <c r="G109" s="83">
        <v>0</v>
      </c>
      <c r="H109" s="83">
        <v>0</v>
      </c>
      <c r="I109" s="83">
        <v>0</v>
      </c>
      <c r="J109" s="83">
        <v>0</v>
      </c>
      <c r="K109" s="83">
        <v>0</v>
      </c>
      <c r="L109" s="83">
        <v>0</v>
      </c>
      <c r="M109" s="83">
        <v>0</v>
      </c>
      <c r="N109" s="83">
        <v>0</v>
      </c>
      <c r="O109" s="96">
        <v>0</v>
      </c>
    </row>
    <row r="110" spans="1:15" x14ac:dyDescent="0.25">
      <c r="A110" s="84" t="s">
        <v>86</v>
      </c>
      <c r="B110" s="84" t="s">
        <v>71</v>
      </c>
      <c r="C110" s="91">
        <v>250.56813633839113</v>
      </c>
      <c r="D110" s="92">
        <v>239.17867559573699</v>
      </c>
      <c r="E110" s="92">
        <v>210.70502373910162</v>
      </c>
      <c r="F110" s="92">
        <v>153.75772002583093</v>
      </c>
      <c r="G110" s="92">
        <v>239.17867559573699</v>
      </c>
      <c r="H110" s="92">
        <v>318.90490079431601</v>
      </c>
      <c r="I110" s="92">
        <v>307.51544005166187</v>
      </c>
      <c r="J110" s="92">
        <v>335.98909190829721</v>
      </c>
      <c r="K110" s="92">
        <v>307.51544005166187</v>
      </c>
      <c r="L110" s="92">
        <v>210.70502373910162</v>
      </c>
      <c r="M110" s="92">
        <v>216.39975411042872</v>
      </c>
      <c r="N110" s="92">
        <v>199.31556299644748</v>
      </c>
      <c r="O110" s="93">
        <v>2989.7334449467126</v>
      </c>
    </row>
    <row r="111" spans="1:15" x14ac:dyDescent="0.25">
      <c r="A111" s="216"/>
      <c r="B111" s="94" t="s">
        <v>25</v>
      </c>
      <c r="C111" s="95">
        <v>5.3695509372853962</v>
      </c>
      <c r="D111" s="83">
        <v>5.1254804401360445</v>
      </c>
      <c r="E111" s="83">
        <v>4.5153041972627079</v>
      </c>
      <c r="F111" s="83">
        <v>3.2949517115160347</v>
      </c>
      <c r="G111" s="83">
        <v>5.1254804401360445</v>
      </c>
      <c r="H111" s="83">
        <v>6.8339739201814496</v>
      </c>
      <c r="I111" s="83">
        <v>6.5899034230320694</v>
      </c>
      <c r="J111" s="83">
        <v>7.2000796659054345</v>
      </c>
      <c r="K111" s="83">
        <v>6.5899034230320694</v>
      </c>
      <c r="L111" s="83">
        <v>4.5153041972627079</v>
      </c>
      <c r="M111" s="83">
        <v>4.637339445837398</v>
      </c>
      <c r="N111" s="83">
        <v>4.2712337001133562</v>
      </c>
      <c r="O111" s="96">
        <v>64.068505501700713</v>
      </c>
    </row>
    <row r="112" spans="1:15" x14ac:dyDescent="0.25">
      <c r="A112" s="216"/>
      <c r="B112" s="94" t="s">
        <v>26</v>
      </c>
      <c r="C112" s="95">
        <v>0.44048722985667987</v>
      </c>
      <c r="D112" s="83">
        <v>0.42046508304501257</v>
      </c>
      <c r="E112" s="83">
        <v>0.37040971601584438</v>
      </c>
      <c r="F112" s="83">
        <v>0.27029898195750812</v>
      </c>
      <c r="G112" s="83">
        <v>0.42046508304501257</v>
      </c>
      <c r="H112" s="83">
        <v>0.5606201107266835</v>
      </c>
      <c r="I112" s="83">
        <v>0.54059796391501624</v>
      </c>
      <c r="J112" s="83">
        <v>0.59065333094418437</v>
      </c>
      <c r="K112" s="83">
        <v>0.54059796391501624</v>
      </c>
      <c r="L112" s="83">
        <v>0.37040971601584438</v>
      </c>
      <c r="M112" s="83">
        <v>0.38042078942167806</v>
      </c>
      <c r="N112" s="83">
        <v>0.35038756920417713</v>
      </c>
      <c r="O112" s="96">
        <v>5.2558135380626574</v>
      </c>
    </row>
    <row r="113" spans="1:15" x14ac:dyDescent="0.25">
      <c r="A113" s="216"/>
      <c r="B113" s="94" t="s">
        <v>27</v>
      </c>
      <c r="C113" s="95">
        <v>5.8100381671420758</v>
      </c>
      <c r="D113" s="83">
        <v>5.5459455231810573</v>
      </c>
      <c r="E113" s="83">
        <v>4.8857139132785523</v>
      </c>
      <c r="F113" s="83">
        <v>3.5652506934735428</v>
      </c>
      <c r="G113" s="83">
        <v>5.5459455231810573</v>
      </c>
      <c r="H113" s="83">
        <v>7.3945940309081326</v>
      </c>
      <c r="I113" s="83">
        <v>7.1305013869470857</v>
      </c>
      <c r="J113" s="83">
        <v>7.7907329968496191</v>
      </c>
      <c r="K113" s="83">
        <v>7.1305013869470857</v>
      </c>
      <c r="L113" s="83">
        <v>4.8857139132785523</v>
      </c>
      <c r="M113" s="83">
        <v>5.0177602352590762</v>
      </c>
      <c r="N113" s="83">
        <v>4.6216212693175329</v>
      </c>
      <c r="O113" s="96">
        <v>69.324319039763381</v>
      </c>
    </row>
    <row r="114" spans="1:15" x14ac:dyDescent="0.25">
      <c r="A114" s="216"/>
      <c r="B114" s="94" t="s">
        <v>50</v>
      </c>
      <c r="C114" s="95">
        <v>245.19858540110573</v>
      </c>
      <c r="D114" s="83">
        <v>234.05319515560095</v>
      </c>
      <c r="E114" s="83">
        <v>206.18971954183891</v>
      </c>
      <c r="F114" s="83">
        <v>150.4627683143149</v>
      </c>
      <c r="G114" s="83">
        <v>234.05319515560095</v>
      </c>
      <c r="H114" s="83">
        <v>312.07092687413456</v>
      </c>
      <c r="I114" s="83">
        <v>300.9255366286298</v>
      </c>
      <c r="J114" s="83">
        <v>328.78901224239178</v>
      </c>
      <c r="K114" s="83">
        <v>300.9255366286298</v>
      </c>
      <c r="L114" s="83">
        <v>206.18971954183891</v>
      </c>
      <c r="M114" s="83">
        <v>211.76241466459132</v>
      </c>
      <c r="N114" s="83">
        <v>195.04432929633413</v>
      </c>
      <c r="O114" s="96">
        <v>2925.6649394450114</v>
      </c>
    </row>
    <row r="115" spans="1:15" x14ac:dyDescent="0.25">
      <c r="A115" s="216"/>
      <c r="B115" s="94" t="s">
        <v>90</v>
      </c>
      <c r="C115" s="95">
        <v>0</v>
      </c>
      <c r="D115" s="83">
        <v>0</v>
      </c>
      <c r="E115" s="83">
        <v>0</v>
      </c>
      <c r="F115" s="83">
        <v>0</v>
      </c>
      <c r="G115" s="83">
        <v>0</v>
      </c>
      <c r="H115" s="83">
        <v>0</v>
      </c>
      <c r="I115" s="83">
        <v>0</v>
      </c>
      <c r="J115" s="83">
        <v>0</v>
      </c>
      <c r="K115" s="83">
        <v>0</v>
      </c>
      <c r="L115" s="83">
        <v>0</v>
      </c>
      <c r="M115" s="83">
        <v>0</v>
      </c>
      <c r="N115" s="83">
        <v>0</v>
      </c>
      <c r="O115" s="96">
        <v>0</v>
      </c>
    </row>
    <row r="116" spans="1:15" x14ac:dyDescent="0.25">
      <c r="A116" s="216"/>
      <c r="B116" s="94" t="s">
        <v>92</v>
      </c>
      <c r="C116" s="95">
        <v>0</v>
      </c>
      <c r="D116" s="83">
        <v>0</v>
      </c>
      <c r="E116" s="83">
        <v>0</v>
      </c>
      <c r="F116" s="83">
        <v>0</v>
      </c>
      <c r="G116" s="83">
        <v>0</v>
      </c>
      <c r="H116" s="83">
        <v>0</v>
      </c>
      <c r="I116" s="83">
        <v>0</v>
      </c>
      <c r="J116" s="83">
        <v>0</v>
      </c>
      <c r="K116" s="83">
        <v>0</v>
      </c>
      <c r="L116" s="83">
        <v>0</v>
      </c>
      <c r="M116" s="83">
        <v>0</v>
      </c>
      <c r="N116" s="83">
        <v>0</v>
      </c>
      <c r="O116" s="96">
        <v>0</v>
      </c>
    </row>
    <row r="117" spans="1:15" x14ac:dyDescent="0.25">
      <c r="A117" s="84" t="s">
        <v>72</v>
      </c>
      <c r="B117" s="85"/>
      <c r="C117" s="91">
        <v>45563.537700987908</v>
      </c>
      <c r="D117" s="92">
        <v>45170.601305366326</v>
      </c>
      <c r="E117" s="92">
        <v>41241.237349150651</v>
      </c>
      <c r="F117" s="92">
        <v>36879.073884714111</v>
      </c>
      <c r="G117" s="92">
        <v>46463.305099657569</v>
      </c>
      <c r="H117" s="92">
        <v>59191.027479573575</v>
      </c>
      <c r="I117" s="92">
        <v>58553.21767798494</v>
      </c>
      <c r="J117" s="92">
        <v>62761.623422395649</v>
      </c>
      <c r="K117" s="92">
        <v>57909.71314602498</v>
      </c>
      <c r="L117" s="92">
        <v>45517.979858017279</v>
      </c>
      <c r="M117" s="92">
        <v>41241.237349150644</v>
      </c>
      <c r="N117" s="92">
        <v>41383.60560843382</v>
      </c>
      <c r="O117" s="93">
        <v>581876.15988145757</v>
      </c>
    </row>
    <row r="118" spans="1:15" ht="13" x14ac:dyDescent="0.3">
      <c r="A118" s="84" t="s">
        <v>28</v>
      </c>
      <c r="B118" s="85"/>
      <c r="C118" s="234">
        <v>976.40402384591698</v>
      </c>
      <c r="D118" s="235">
        <v>967.98359169426499</v>
      </c>
      <c r="E118" s="235">
        <v>883.77927017774391</v>
      </c>
      <c r="F118" s="235">
        <v>790.30026976954923</v>
      </c>
      <c r="G118" s="235">
        <v>995.68559312071534</v>
      </c>
      <c r="H118" s="235">
        <v>1268.4343736850974</v>
      </c>
      <c r="I118" s="235">
        <v>1254.7664258447357</v>
      </c>
      <c r="J118" s="235">
        <v>1344.9504745414138</v>
      </c>
      <c r="K118" s="235">
        <v>1240.9764427557966</v>
      </c>
      <c r="L118" s="235">
        <v>975.42774185731969</v>
      </c>
      <c r="M118" s="235">
        <v>883.77927017774448</v>
      </c>
      <c r="N118" s="235">
        <v>886.83015139211034</v>
      </c>
      <c r="O118" s="236">
        <v>12469.317628862407</v>
      </c>
    </row>
    <row r="119" spans="1:15" ht="13" x14ac:dyDescent="0.3">
      <c r="A119" s="84" t="s">
        <v>29</v>
      </c>
      <c r="B119" s="85"/>
      <c r="C119" s="234">
        <v>80.098598320074871</v>
      </c>
      <c r="D119" s="235">
        <v>79.407834255072387</v>
      </c>
      <c r="E119" s="235">
        <v>72.500193605047173</v>
      </c>
      <c r="F119" s="235">
        <v>64.831711376178603</v>
      </c>
      <c r="G119" s="235">
        <v>81.680347918196603</v>
      </c>
      <c r="H119" s="235">
        <v>104.05509698023478</v>
      </c>
      <c r="I119" s="235">
        <v>102.93385675878143</v>
      </c>
      <c r="J119" s="235">
        <v>110.33204000569246</v>
      </c>
      <c r="K119" s="235">
        <v>101.80260546392222</v>
      </c>
      <c r="L119" s="235">
        <v>80.018509732828221</v>
      </c>
      <c r="M119" s="235">
        <v>72.500193605047173</v>
      </c>
      <c r="N119" s="235">
        <v>72.750470440192998</v>
      </c>
      <c r="O119" s="236">
        <v>1022.9114584612689</v>
      </c>
    </row>
    <row r="120" spans="1:15" ht="13" x14ac:dyDescent="0.3">
      <c r="A120" s="84" t="s">
        <v>30</v>
      </c>
      <c r="B120" s="85"/>
      <c r="C120" s="234">
        <v>1056.5026221659916</v>
      </c>
      <c r="D120" s="235">
        <v>1047.3914259493372</v>
      </c>
      <c r="E120" s="235">
        <v>956.27946378279091</v>
      </c>
      <c r="F120" s="235">
        <v>855.13198114572776</v>
      </c>
      <c r="G120" s="235">
        <v>1077.3659410389118</v>
      </c>
      <c r="H120" s="235">
        <v>1372.4894706653322</v>
      </c>
      <c r="I120" s="235">
        <v>1357.7002826035171</v>
      </c>
      <c r="J120" s="235">
        <v>1455.2825145471058</v>
      </c>
      <c r="K120" s="235">
        <v>1342.7790482197186</v>
      </c>
      <c r="L120" s="235">
        <v>1055.4462515901478</v>
      </c>
      <c r="M120" s="235">
        <v>956.27946378279182</v>
      </c>
      <c r="N120" s="235">
        <v>959.58062183230334</v>
      </c>
      <c r="O120" s="236">
        <v>13492.229087323674</v>
      </c>
    </row>
    <row r="121" spans="1:15" x14ac:dyDescent="0.25">
      <c r="A121" s="84" t="s">
        <v>62</v>
      </c>
      <c r="B121" s="85"/>
      <c r="C121" s="91">
        <v>44587.133677141981</v>
      </c>
      <c r="D121" s="92">
        <v>44202.617713672058</v>
      </c>
      <c r="E121" s="92">
        <v>40357.458078972901</v>
      </c>
      <c r="F121" s="92">
        <v>36088.773614944563</v>
      </c>
      <c r="G121" s="92">
        <v>45467.619506536859</v>
      </c>
      <c r="H121" s="92">
        <v>57922.593105888474</v>
      </c>
      <c r="I121" s="92">
        <v>57298.451252140207</v>
      </c>
      <c r="J121" s="92">
        <v>61416.672947854233</v>
      </c>
      <c r="K121" s="92">
        <v>56668.736703269213</v>
      </c>
      <c r="L121" s="92">
        <v>44542.552116159961</v>
      </c>
      <c r="M121" s="92">
        <v>40357.458078972908</v>
      </c>
      <c r="N121" s="92">
        <v>40496.775457041709</v>
      </c>
      <c r="O121" s="93">
        <v>569406.84225259512</v>
      </c>
    </row>
    <row r="122" spans="1:15" x14ac:dyDescent="0.25">
      <c r="A122" s="84" t="s">
        <v>91</v>
      </c>
      <c r="B122" s="85"/>
      <c r="C122" s="91">
        <v>0</v>
      </c>
      <c r="D122" s="92">
        <v>0</v>
      </c>
      <c r="E122" s="92">
        <v>0</v>
      </c>
      <c r="F122" s="92">
        <v>0</v>
      </c>
      <c r="G122" s="92">
        <v>0</v>
      </c>
      <c r="H122" s="92">
        <v>0</v>
      </c>
      <c r="I122" s="92">
        <v>0</v>
      </c>
      <c r="J122" s="92">
        <v>0</v>
      </c>
      <c r="K122" s="92">
        <v>0</v>
      </c>
      <c r="L122" s="92">
        <v>0</v>
      </c>
      <c r="M122" s="92">
        <v>0</v>
      </c>
      <c r="N122" s="92">
        <v>0</v>
      </c>
      <c r="O122" s="93">
        <v>0</v>
      </c>
    </row>
    <row r="123" spans="1:15" x14ac:dyDescent="0.25">
      <c r="A123" s="97" t="s">
        <v>93</v>
      </c>
      <c r="B123" s="217"/>
      <c r="C123" s="98">
        <v>0</v>
      </c>
      <c r="D123" s="99">
        <v>0</v>
      </c>
      <c r="E123" s="99">
        <v>0</v>
      </c>
      <c r="F123" s="99">
        <v>0</v>
      </c>
      <c r="G123" s="99">
        <v>0</v>
      </c>
      <c r="H123" s="99">
        <v>0</v>
      </c>
      <c r="I123" s="99">
        <v>0</v>
      </c>
      <c r="J123" s="99">
        <v>0</v>
      </c>
      <c r="K123" s="99">
        <v>0</v>
      </c>
      <c r="L123" s="99">
        <v>0</v>
      </c>
      <c r="M123" s="99">
        <v>0</v>
      </c>
      <c r="N123" s="99">
        <v>0</v>
      </c>
      <c r="O123" s="100">
        <v>0</v>
      </c>
    </row>
    <row r="125" spans="1:15" x14ac:dyDescent="0.25">
      <c r="L125" s="219"/>
      <c r="O125" s="219"/>
    </row>
    <row r="126" spans="1:15" x14ac:dyDescent="0.25">
      <c r="L126" s="83"/>
      <c r="O126" s="83"/>
    </row>
  </sheetData>
  <phoneticPr fontId="6" type="noConversion"/>
  <pageMargins left="0.5" right="0.5" top="0.73" bottom="0.98" header="0.5" footer="0.5"/>
  <pageSetup scale="54" fitToHeight="0" orientation="landscape" horizontalDpi="1200" verticalDpi="12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S220"/>
  <sheetViews>
    <sheetView showGridLines="0" topLeftCell="A9" zoomScale="80" zoomScaleNormal="80" zoomScaleSheetLayoutView="100" workbookViewId="0">
      <selection activeCell="N20" sqref="N20"/>
    </sheetView>
  </sheetViews>
  <sheetFormatPr defaultColWidth="8.7265625" defaultRowHeight="12.5" x14ac:dyDescent="0.25"/>
  <cols>
    <col min="1" max="1" width="0.54296875" style="1" customWidth="1"/>
    <col min="2" max="2" width="10.26953125" style="1" bestFit="1" customWidth="1"/>
    <col min="3" max="3" width="10.7265625" style="1" bestFit="1" customWidth="1"/>
    <col min="4" max="4" width="11" style="147" customWidth="1"/>
    <col min="5" max="5" width="24.26953125" style="1" customWidth="1"/>
    <col min="6" max="6" width="7.7265625" style="147" customWidth="1"/>
    <col min="7" max="7" width="8" style="147" customWidth="1"/>
    <col min="8" max="8" width="11.1796875" style="147" bestFit="1" customWidth="1"/>
    <col min="9" max="9" width="11.26953125" style="148" customWidth="1"/>
    <col min="10" max="10" width="13.7265625" style="147" customWidth="1"/>
    <col min="11" max="11" width="13.54296875" style="149" customWidth="1"/>
    <col min="12" max="12" width="14.7265625" style="147" customWidth="1"/>
    <col min="13" max="13" width="13.453125" style="111" bestFit="1" customWidth="1"/>
    <col min="14" max="17" width="13.453125" style="111" customWidth="1"/>
    <col min="18" max="18" width="15.54296875" style="215" customWidth="1"/>
    <col min="19" max="16384" width="8.7265625" style="1"/>
  </cols>
  <sheetData>
    <row r="1" spans="2:18" ht="21.5" x14ac:dyDescent="0.3">
      <c r="B1" s="10" t="s">
        <v>97</v>
      </c>
      <c r="C1" s="101"/>
      <c r="D1" s="102"/>
      <c r="E1" s="101"/>
      <c r="F1" s="103" t="s">
        <v>12</v>
      </c>
      <c r="G1" s="104"/>
      <c r="H1" s="105"/>
      <c r="I1" s="106"/>
      <c r="J1" s="230" t="str">
        <f>"True-Up ARR
(CY"&amp;R1&amp;")"</f>
        <v>True-Up ARR
(CY2023)</v>
      </c>
      <c r="K1" s="230" t="str">
        <f>"Projected ARR
(Jan'"&amp;RIGHT(R$1,2)&amp;" - Dec'"&amp;RIGHT(R$1,2)&amp;")"</f>
        <v>Projected ARR
(Jan'23 - Dec'23)</v>
      </c>
      <c r="L1" s="107" t="s">
        <v>46</v>
      </c>
      <c r="M1" s="108"/>
      <c r="N1" s="50"/>
      <c r="O1" s="50"/>
      <c r="P1" s="50"/>
      <c r="Q1" s="50"/>
      <c r="R1" s="109">
        <v>2023</v>
      </c>
    </row>
    <row r="2" spans="2:18" ht="13" x14ac:dyDescent="0.3">
      <c r="B2" s="10" t="s">
        <v>53</v>
      </c>
      <c r="C2" s="101"/>
      <c r="D2" s="102"/>
      <c r="E2" s="101"/>
      <c r="F2" s="110">
        <v>1</v>
      </c>
      <c r="G2" s="238"/>
      <c r="H2" s="238"/>
      <c r="I2" s="112" t="s">
        <v>6</v>
      </c>
      <c r="J2" s="113">
        <v>581887.54934220016</v>
      </c>
      <c r="K2" s="113">
        <v>609808.88189255004</v>
      </c>
      <c r="L2" s="224"/>
      <c r="M2" s="115"/>
      <c r="N2" s="50"/>
      <c r="O2" s="50"/>
      <c r="P2" s="50"/>
      <c r="Q2" s="50"/>
      <c r="R2" s="1"/>
    </row>
    <row r="3" spans="2:18" ht="13" x14ac:dyDescent="0.3">
      <c r="B3" s="10" t="str">
        <f>"for CY"&amp;R1&amp;" SPP Network Transmission Service"</f>
        <v>for CY2023 SPP Network Transmission Service</v>
      </c>
      <c r="C3" s="101"/>
      <c r="D3" s="102"/>
      <c r="E3" s="101"/>
      <c r="F3" s="110"/>
      <c r="G3" s="238"/>
      <c r="H3" s="238"/>
      <c r="I3" s="112" t="s">
        <v>10</v>
      </c>
      <c r="J3" s="116">
        <v>5.6947303713270712</v>
      </c>
      <c r="K3" s="116">
        <v>5.5726951227524033</v>
      </c>
      <c r="L3" s="136" t="str">
        <f>"Inv. Jan-Dec'"&amp;RIGHT(R1,2)</f>
        <v>Inv. Jan-Dec'23</v>
      </c>
      <c r="M3" s="115"/>
      <c r="N3" s="50"/>
      <c r="O3" s="50"/>
      <c r="P3" s="50"/>
      <c r="Q3" s="50"/>
      <c r="R3" s="1"/>
    </row>
    <row r="4" spans="2:18" ht="13" x14ac:dyDescent="0.3">
      <c r="B4" s="9"/>
      <c r="C4" s="101"/>
      <c r="D4" s="102"/>
      <c r="E4" s="101"/>
      <c r="F4" s="110"/>
      <c r="G4" s="111"/>
      <c r="H4" s="111"/>
      <c r="I4" s="49"/>
      <c r="J4" s="111"/>
      <c r="K4" s="117"/>
      <c r="L4" s="111"/>
      <c r="M4" s="118"/>
      <c r="R4" s="1"/>
    </row>
    <row r="5" spans="2:18" ht="13" x14ac:dyDescent="0.3">
      <c r="B5" s="9"/>
      <c r="C5" s="101"/>
      <c r="D5" s="102"/>
      <c r="E5" s="101"/>
      <c r="F5" s="110"/>
      <c r="G5" s="111"/>
      <c r="H5" s="111"/>
      <c r="I5" s="112"/>
      <c r="J5" s="111"/>
      <c r="K5" s="113">
        <v>0</v>
      </c>
      <c r="L5" s="114"/>
      <c r="M5" s="119"/>
      <c r="N5" s="120"/>
      <c r="O5" s="120"/>
      <c r="P5" s="120"/>
      <c r="Q5" s="120"/>
      <c r="R5" s="121"/>
    </row>
    <row r="6" spans="2:18" ht="13" x14ac:dyDescent="0.3">
      <c r="B6" s="10" t="s">
        <v>23</v>
      </c>
      <c r="D6" s="102"/>
      <c r="E6" s="101"/>
      <c r="F6" s="122"/>
      <c r="G6" s="123"/>
      <c r="H6" s="124"/>
      <c r="I6" s="125"/>
      <c r="J6" s="126"/>
      <c r="K6" s="116">
        <v>0</v>
      </c>
      <c r="L6" s="218"/>
      <c r="M6" s="119"/>
      <c r="N6" s="120"/>
      <c r="O6" s="120"/>
      <c r="P6" s="120"/>
      <c r="Q6" s="120"/>
      <c r="R6" s="1"/>
    </row>
    <row r="7" spans="2:18" ht="13" x14ac:dyDescent="0.3">
      <c r="B7" s="9" t="s">
        <v>78</v>
      </c>
      <c r="D7" s="102"/>
      <c r="E7" s="101"/>
      <c r="F7" s="110"/>
      <c r="G7" s="239"/>
      <c r="H7" s="238"/>
      <c r="I7" s="112"/>
      <c r="J7" s="127"/>
      <c r="K7" s="114"/>
      <c r="L7" s="114"/>
      <c r="M7" s="128"/>
      <c r="N7" s="129"/>
      <c r="O7" s="129"/>
      <c r="P7" s="129"/>
      <c r="Q7" s="129"/>
      <c r="R7" s="1"/>
    </row>
    <row r="8" spans="2:18" ht="13" x14ac:dyDescent="0.3">
      <c r="B8" s="10"/>
      <c r="C8" s="101"/>
      <c r="D8" s="102"/>
      <c r="E8" s="101"/>
      <c r="F8" s="110"/>
      <c r="G8" s="238"/>
      <c r="H8" s="238"/>
      <c r="I8" s="112"/>
      <c r="J8" s="130"/>
      <c r="K8" s="114"/>
      <c r="L8" s="131"/>
      <c r="M8" s="115"/>
      <c r="N8" s="50"/>
      <c r="O8" s="50"/>
      <c r="P8" s="50"/>
      <c r="Q8" s="50"/>
      <c r="R8" s="121"/>
    </row>
    <row r="9" spans="2:18" ht="13" x14ac:dyDescent="0.3">
      <c r="B9" s="132"/>
      <c r="C9" s="101"/>
      <c r="D9" s="102"/>
      <c r="E9" s="101"/>
      <c r="F9" s="110"/>
      <c r="G9" s="111"/>
      <c r="H9" s="111"/>
      <c r="I9" s="133"/>
      <c r="J9" s="134"/>
      <c r="K9" s="135"/>
      <c r="L9" s="136"/>
      <c r="M9" s="115"/>
      <c r="N9" s="50"/>
      <c r="O9" s="50"/>
      <c r="P9" s="50"/>
      <c r="Q9" s="50"/>
      <c r="R9" s="121"/>
    </row>
    <row r="10" spans="2:18" ht="13.5" thickBot="1" x14ac:dyDescent="0.35">
      <c r="B10" s="9"/>
      <c r="D10" s="1"/>
      <c r="E10" s="137"/>
      <c r="F10" s="138"/>
      <c r="G10" s="139"/>
      <c r="H10" s="140"/>
      <c r="I10" s="141"/>
      <c r="J10" s="142"/>
      <c r="K10" s="142"/>
      <c r="L10" s="143"/>
      <c r="M10" s="144"/>
      <c r="R10" s="145"/>
    </row>
    <row r="11" spans="2:18" ht="13" x14ac:dyDescent="0.3">
      <c r="B11" s="146" t="s">
        <v>83</v>
      </c>
      <c r="E11" s="137"/>
      <c r="L11" s="150"/>
      <c r="M11" s="1"/>
      <c r="N11" s="1"/>
      <c r="O11" s="1"/>
      <c r="P11" s="1"/>
      <c r="Q11" s="1"/>
      <c r="R11" s="121"/>
    </row>
    <row r="12" spans="2:18" x14ac:dyDescent="0.25">
      <c r="E12" s="137"/>
      <c r="L12" s="150"/>
      <c r="R12" s="151" t="s">
        <v>61</v>
      </c>
    </row>
    <row r="13" spans="2:18" ht="13" x14ac:dyDescent="0.3">
      <c r="E13" s="137"/>
      <c r="F13" s="152"/>
      <c r="G13" s="153"/>
      <c r="H13" s="153"/>
      <c r="I13" s="154" t="s">
        <v>59</v>
      </c>
      <c r="J13" s="155">
        <f t="shared" ref="J13:R13" si="0">SUM(J56:J211)</f>
        <v>153677.99380063242</v>
      </c>
      <c r="K13" s="155">
        <f t="shared" si="0"/>
        <v>150384.75058259617</v>
      </c>
      <c r="L13" s="156">
        <f t="shared" si="0"/>
        <v>3293.2432180359892</v>
      </c>
      <c r="M13" s="157">
        <f t="shared" si="0"/>
        <v>270.15882692982649</v>
      </c>
      <c r="N13" s="155">
        <f t="shared" si="0"/>
        <v>3563.4020449658146</v>
      </c>
      <c r="O13" s="155">
        <f>SUM(O56:O211)</f>
        <v>0</v>
      </c>
      <c r="P13" s="155">
        <f t="shared" si="0"/>
        <v>0</v>
      </c>
      <c r="Q13" s="155">
        <v>0</v>
      </c>
      <c r="R13" s="156">
        <f t="shared" si="0"/>
        <v>3563.4020449658146</v>
      </c>
    </row>
    <row r="14" spans="2:18" ht="13" x14ac:dyDescent="0.3">
      <c r="E14" s="137"/>
      <c r="F14" s="158"/>
      <c r="G14" s="158"/>
      <c r="H14" s="158"/>
      <c r="I14" s="159" t="s">
        <v>60</v>
      </c>
      <c r="J14" s="155">
        <f>SUM(J20:J211)</f>
        <v>581876.15988145745</v>
      </c>
      <c r="K14" s="155">
        <f>SUM(K20:K211)</f>
        <v>569406.84225259488</v>
      </c>
      <c r="L14" s="156">
        <f>SUM(L20:L211)</f>
        <v>12469.317628862409</v>
      </c>
      <c r="M14" s="220">
        <v>1022.9114584612689</v>
      </c>
      <c r="N14" s="155">
        <f>SUM(N20:N211)</f>
        <v>13492.22908732368</v>
      </c>
      <c r="O14" s="155">
        <f>SUM(O20:O211)</f>
        <v>0</v>
      </c>
      <c r="P14" s="155">
        <f>SUM(P20:P211)</f>
        <v>0</v>
      </c>
      <c r="Q14" s="155">
        <v>0</v>
      </c>
      <c r="R14" s="156">
        <f>SUM(R20:R211)</f>
        <v>13492.22908732368</v>
      </c>
    </row>
    <row r="15" spans="2:18" x14ac:dyDescent="0.25">
      <c r="B15" s="160" t="s">
        <v>85</v>
      </c>
      <c r="E15" s="137"/>
      <c r="J15" s="148"/>
      <c r="L15" s="150"/>
      <c r="M15" s="225"/>
      <c r="N15" s="161"/>
      <c r="O15" s="161"/>
      <c r="P15" s="161"/>
      <c r="Q15" s="161"/>
      <c r="R15" s="162" t="s">
        <v>20</v>
      </c>
    </row>
    <row r="16" spans="2:18" x14ac:dyDescent="0.25">
      <c r="B16" s="163" t="str">
        <f>"** Actual Trued-Up CY"&amp;R1&amp;" Charge reflects "&amp;R1&amp;" True-UP Rate x MW"</f>
        <v>** Actual Trued-Up CY2023 Charge reflects 2023 True-UP Rate x MW</v>
      </c>
      <c r="E16" s="137"/>
      <c r="F16" s="111"/>
      <c r="G16" s="5"/>
      <c r="J16" s="164"/>
      <c r="L16" s="165" t="s">
        <v>11</v>
      </c>
      <c r="M16" s="161"/>
      <c r="N16" s="161"/>
      <c r="O16" s="161"/>
      <c r="P16" s="161"/>
      <c r="Q16" s="161"/>
      <c r="R16" s="166"/>
    </row>
    <row r="17" spans="1:18" x14ac:dyDescent="0.25">
      <c r="B17" s="167" t="s">
        <v>63</v>
      </c>
      <c r="E17" s="137"/>
      <c r="I17" s="168"/>
      <c r="J17" s="169"/>
      <c r="K17" s="170"/>
      <c r="L17" s="170"/>
      <c r="M17" s="170"/>
      <c r="N17" s="170"/>
      <c r="O17" s="170"/>
      <c r="P17" s="170"/>
      <c r="Q17" s="170"/>
      <c r="R17" s="171"/>
    </row>
    <row r="18" spans="1:18" ht="3.65" customHeight="1" x14ac:dyDescent="0.25">
      <c r="I18" s="172"/>
      <c r="J18" s="169"/>
      <c r="K18" s="172"/>
      <c r="L18" s="172"/>
      <c r="M18" s="173"/>
      <c r="N18" s="173"/>
      <c r="O18" s="173"/>
      <c r="P18" s="173"/>
      <c r="Q18" s="173"/>
      <c r="R18" s="174"/>
    </row>
    <row r="19" spans="1:18" ht="38.25" customHeight="1" x14ac:dyDescent="0.25">
      <c r="B19" s="175" t="s">
        <v>54</v>
      </c>
      <c r="C19" s="226" t="s">
        <v>4</v>
      </c>
      <c r="D19" s="226" t="s">
        <v>5</v>
      </c>
      <c r="E19" s="227" t="s">
        <v>0</v>
      </c>
      <c r="F19" s="228" t="s">
        <v>12</v>
      </c>
      <c r="G19" s="229" t="s">
        <v>1</v>
      </c>
      <c r="H19" s="176" t="s">
        <v>49</v>
      </c>
      <c r="I19" s="176" t="s">
        <v>47</v>
      </c>
      <c r="J19" s="177" t="str">
        <f>"True-Up Charge"</f>
        <v>True-Up Charge</v>
      </c>
      <c r="K19" s="177" t="s">
        <v>48</v>
      </c>
      <c r="L19" s="178" t="s">
        <v>3</v>
      </c>
      <c r="M19" s="179" t="s">
        <v>7</v>
      </c>
      <c r="N19" s="180" t="s">
        <v>99</v>
      </c>
      <c r="O19" s="180" t="s">
        <v>87</v>
      </c>
      <c r="P19" s="180" t="s">
        <v>88</v>
      </c>
      <c r="Q19" s="180" t="s">
        <v>89</v>
      </c>
      <c r="R19" s="181" t="s">
        <v>2</v>
      </c>
    </row>
    <row r="20" spans="1:18" s="50" customFormat="1" ht="12.75" customHeight="1" x14ac:dyDescent="0.25">
      <c r="A20" s="111">
        <v>1</v>
      </c>
      <c r="B20" s="182">
        <f>DATE($R$1,A20,1)</f>
        <v>44927</v>
      </c>
      <c r="C20" s="221">
        <v>44960</v>
      </c>
      <c r="D20" s="221">
        <v>44981</v>
      </c>
      <c r="E20" s="183" t="s">
        <v>21</v>
      </c>
      <c r="F20" s="111">
        <v>9</v>
      </c>
      <c r="G20" s="184">
        <v>2810</v>
      </c>
      <c r="H20" s="185">
        <f>+$K$3</f>
        <v>5.5726951227524033</v>
      </c>
      <c r="I20" s="185">
        <f t="shared" ref="I20:I63" si="1">$J$3</f>
        <v>5.6947303713270712</v>
      </c>
      <c r="J20" s="186">
        <f t="shared" ref="J20:J108" si="2">+$G20*I20</f>
        <v>16002.192343429069</v>
      </c>
      <c r="K20" s="187">
        <f>+$G20*H20</f>
        <v>15659.273294934253</v>
      </c>
      <c r="L20" s="188">
        <f t="shared" ref="L20:L34" si="3">+J20-K20</f>
        <v>342.9190484948158</v>
      </c>
      <c r="M20" s="189">
        <f>G20/$G$212*$M$14</f>
        <v>28.131116270392507</v>
      </c>
      <c r="N20" s="190">
        <f>SUM(L20:M20)</f>
        <v>371.05016476520831</v>
      </c>
      <c r="O20" s="189">
        <f>+$P$3</f>
        <v>0</v>
      </c>
      <c r="P20" s="189">
        <f>+G20*O20</f>
        <v>0</v>
      </c>
      <c r="Q20" s="189">
        <v>0</v>
      </c>
      <c r="R20" s="190">
        <f>+N20-Q20</f>
        <v>371.05016476520831</v>
      </c>
    </row>
    <row r="21" spans="1:18" x14ac:dyDescent="0.25">
      <c r="A21" s="147">
        <v>2</v>
      </c>
      <c r="B21" s="182">
        <f t="shared" ref="B21:B108" si="4">DATE($R$1,A21,1)</f>
        <v>44958</v>
      </c>
      <c r="C21" s="221">
        <v>44988</v>
      </c>
      <c r="D21" s="221">
        <v>45009</v>
      </c>
      <c r="E21" s="191" t="s">
        <v>21</v>
      </c>
      <c r="F21" s="147">
        <v>9</v>
      </c>
      <c r="G21" s="184">
        <v>2771</v>
      </c>
      <c r="H21" s="185">
        <f t="shared" ref="H21:H84" si="5">+$K$3</f>
        <v>5.5726951227524033</v>
      </c>
      <c r="I21" s="185">
        <f t="shared" si="1"/>
        <v>5.6947303713270712</v>
      </c>
      <c r="J21" s="186">
        <f t="shared" si="2"/>
        <v>15780.097858947314</v>
      </c>
      <c r="K21" s="187">
        <f t="shared" ref="K21:K33" si="6">+$G21*H21</f>
        <v>15441.93818514691</v>
      </c>
      <c r="L21" s="188">
        <f t="shared" si="3"/>
        <v>338.15967380040456</v>
      </c>
      <c r="M21" s="189">
        <f t="shared" ref="M21:M84" si="7">G21/$G$212*$M$14</f>
        <v>27.740684407564995</v>
      </c>
      <c r="N21" s="190">
        <f t="shared" ref="N21:N84" si="8">SUM(L21:M21)</f>
        <v>365.90035820796953</v>
      </c>
      <c r="O21" s="189">
        <f t="shared" ref="O21:O84" si="9">+$P$3</f>
        <v>0</v>
      </c>
      <c r="P21" s="189">
        <f t="shared" ref="P21:P84" si="10">+G21*O21</f>
        <v>0</v>
      </c>
      <c r="Q21" s="189">
        <v>0</v>
      </c>
      <c r="R21" s="190">
        <f t="shared" ref="R21:R84" si="11">+N21-Q21</f>
        <v>365.90035820796953</v>
      </c>
    </row>
    <row r="22" spans="1:18" x14ac:dyDescent="0.25">
      <c r="A22" s="147">
        <v>3</v>
      </c>
      <c r="B22" s="182">
        <f t="shared" si="4"/>
        <v>44986</v>
      </c>
      <c r="C22" s="221">
        <v>45021</v>
      </c>
      <c r="D22" s="221">
        <v>45040</v>
      </c>
      <c r="E22" s="191" t="s">
        <v>21</v>
      </c>
      <c r="F22" s="147">
        <v>9</v>
      </c>
      <c r="G22" s="184">
        <v>2389</v>
      </c>
      <c r="H22" s="185">
        <f t="shared" si="5"/>
        <v>5.5726951227524033</v>
      </c>
      <c r="I22" s="185">
        <f t="shared" si="1"/>
        <v>5.6947303713270712</v>
      </c>
      <c r="J22" s="186">
        <f t="shared" si="2"/>
        <v>13604.710857100374</v>
      </c>
      <c r="K22" s="187">
        <f t="shared" si="6"/>
        <v>13313.168648255492</v>
      </c>
      <c r="L22" s="188">
        <f t="shared" si="3"/>
        <v>291.54220884488132</v>
      </c>
      <c r="M22" s="189">
        <f t="shared" si="7"/>
        <v>23.916454366536549</v>
      </c>
      <c r="N22" s="190">
        <f t="shared" si="8"/>
        <v>315.45866321141784</v>
      </c>
      <c r="O22" s="189">
        <f t="shared" si="9"/>
        <v>0</v>
      </c>
      <c r="P22" s="189">
        <f t="shared" si="10"/>
        <v>0</v>
      </c>
      <c r="Q22" s="189">
        <v>0</v>
      </c>
      <c r="R22" s="190">
        <f t="shared" si="11"/>
        <v>315.45866321141784</v>
      </c>
    </row>
    <row r="23" spans="1:18" x14ac:dyDescent="0.25">
      <c r="A23" s="111">
        <v>4</v>
      </c>
      <c r="B23" s="182">
        <f t="shared" si="4"/>
        <v>45017</v>
      </c>
      <c r="C23" s="221">
        <v>45049</v>
      </c>
      <c r="D23" s="221">
        <v>45070</v>
      </c>
      <c r="E23" s="191" t="s">
        <v>21</v>
      </c>
      <c r="F23" s="147">
        <v>9</v>
      </c>
      <c r="G23" s="184">
        <v>2392</v>
      </c>
      <c r="H23" s="185">
        <f t="shared" si="5"/>
        <v>5.5726951227524033</v>
      </c>
      <c r="I23" s="185">
        <f t="shared" si="1"/>
        <v>5.6947303713270712</v>
      </c>
      <c r="J23" s="186">
        <f t="shared" si="2"/>
        <v>13621.795048214355</v>
      </c>
      <c r="K23" s="187">
        <f t="shared" si="6"/>
        <v>13329.886733623749</v>
      </c>
      <c r="L23" s="188">
        <f t="shared" si="3"/>
        <v>291.9083145906061</v>
      </c>
      <c r="M23" s="189">
        <f t="shared" si="7"/>
        <v>23.946487586754049</v>
      </c>
      <c r="N23" s="190">
        <f t="shared" si="8"/>
        <v>315.85480217736017</v>
      </c>
      <c r="O23" s="189">
        <f t="shared" si="9"/>
        <v>0</v>
      </c>
      <c r="P23" s="189">
        <f t="shared" si="10"/>
        <v>0</v>
      </c>
      <c r="Q23" s="189">
        <v>0</v>
      </c>
      <c r="R23" s="190">
        <f t="shared" si="11"/>
        <v>315.85480217736017</v>
      </c>
    </row>
    <row r="24" spans="1:18" ht="12" customHeight="1" x14ac:dyDescent="0.25">
      <c r="A24" s="147">
        <v>5</v>
      </c>
      <c r="B24" s="182">
        <f t="shared" si="4"/>
        <v>45047</v>
      </c>
      <c r="C24" s="221">
        <v>45082</v>
      </c>
      <c r="D24" s="221">
        <v>45103</v>
      </c>
      <c r="E24" s="52" t="s">
        <v>21</v>
      </c>
      <c r="F24" s="147">
        <v>9</v>
      </c>
      <c r="G24" s="184">
        <v>3231</v>
      </c>
      <c r="H24" s="185">
        <f t="shared" si="5"/>
        <v>5.5726951227524033</v>
      </c>
      <c r="I24" s="185">
        <f t="shared" si="1"/>
        <v>5.6947303713270712</v>
      </c>
      <c r="J24" s="186">
        <f t="shared" si="2"/>
        <v>18399.673829757769</v>
      </c>
      <c r="K24" s="187">
        <f t="shared" si="6"/>
        <v>18005.377941613016</v>
      </c>
      <c r="L24" s="188">
        <f t="shared" si="3"/>
        <v>394.2958881447521</v>
      </c>
      <c r="M24" s="189">
        <f t="shared" si="7"/>
        <v>32.345778174248466</v>
      </c>
      <c r="N24" s="190">
        <f t="shared" si="8"/>
        <v>426.64166631900059</v>
      </c>
      <c r="O24" s="189">
        <f t="shared" si="9"/>
        <v>0</v>
      </c>
      <c r="P24" s="189">
        <f t="shared" si="10"/>
        <v>0</v>
      </c>
      <c r="Q24" s="189">
        <v>0</v>
      </c>
      <c r="R24" s="190">
        <f t="shared" si="11"/>
        <v>426.64166631900059</v>
      </c>
    </row>
    <row r="25" spans="1:18" x14ac:dyDescent="0.25">
      <c r="A25" s="147">
        <v>6</v>
      </c>
      <c r="B25" s="182">
        <f t="shared" si="4"/>
        <v>45078</v>
      </c>
      <c r="C25" s="221">
        <v>45112</v>
      </c>
      <c r="D25" s="221">
        <v>45131</v>
      </c>
      <c r="E25" s="52" t="s">
        <v>21</v>
      </c>
      <c r="F25" s="147">
        <v>9</v>
      </c>
      <c r="G25" s="184">
        <v>4100</v>
      </c>
      <c r="H25" s="185">
        <f t="shared" si="5"/>
        <v>5.5726951227524033</v>
      </c>
      <c r="I25" s="185">
        <f t="shared" si="1"/>
        <v>5.6947303713270712</v>
      </c>
      <c r="J25" s="186">
        <f t="shared" si="2"/>
        <v>23348.394522440991</v>
      </c>
      <c r="K25" s="187">
        <f t="shared" si="6"/>
        <v>22848.050003284854</v>
      </c>
      <c r="L25" s="192">
        <f t="shared" si="3"/>
        <v>500.34451915613681</v>
      </c>
      <c r="M25" s="189">
        <f t="shared" si="7"/>
        <v>41.045400963917892</v>
      </c>
      <c r="N25" s="190">
        <f t="shared" si="8"/>
        <v>541.38992012005474</v>
      </c>
      <c r="O25" s="189">
        <f t="shared" si="9"/>
        <v>0</v>
      </c>
      <c r="P25" s="189">
        <f t="shared" si="10"/>
        <v>0</v>
      </c>
      <c r="Q25" s="189">
        <v>0</v>
      </c>
      <c r="R25" s="190">
        <f t="shared" si="11"/>
        <v>541.38992012005474</v>
      </c>
    </row>
    <row r="26" spans="1:18" x14ac:dyDescent="0.25">
      <c r="A26" s="111">
        <v>7</v>
      </c>
      <c r="B26" s="182">
        <f t="shared" si="4"/>
        <v>45108</v>
      </c>
      <c r="C26" s="221">
        <v>45141</v>
      </c>
      <c r="D26" s="221">
        <v>45162</v>
      </c>
      <c r="E26" s="52" t="s">
        <v>21</v>
      </c>
      <c r="F26" s="147">
        <v>9</v>
      </c>
      <c r="G26" s="184">
        <v>3988</v>
      </c>
      <c r="H26" s="185">
        <f t="shared" si="5"/>
        <v>5.5726951227524033</v>
      </c>
      <c r="I26" s="185">
        <f t="shared" si="1"/>
        <v>5.6947303713270712</v>
      </c>
      <c r="J26" s="186">
        <f t="shared" si="2"/>
        <v>22710.584720852359</v>
      </c>
      <c r="K26" s="193">
        <f t="shared" si="6"/>
        <v>22223.908149536583</v>
      </c>
      <c r="L26" s="192">
        <f t="shared" si="3"/>
        <v>486.67657131577653</v>
      </c>
      <c r="M26" s="189">
        <f t="shared" si="7"/>
        <v>39.92416074246453</v>
      </c>
      <c r="N26" s="190">
        <f t="shared" si="8"/>
        <v>526.60073205824108</v>
      </c>
      <c r="O26" s="189">
        <f t="shared" si="9"/>
        <v>0</v>
      </c>
      <c r="P26" s="189">
        <f t="shared" si="10"/>
        <v>0</v>
      </c>
      <c r="Q26" s="189">
        <v>0</v>
      </c>
      <c r="R26" s="190">
        <f t="shared" si="11"/>
        <v>526.60073205824108</v>
      </c>
    </row>
    <row r="27" spans="1:18" x14ac:dyDescent="0.25">
      <c r="A27" s="147">
        <v>8</v>
      </c>
      <c r="B27" s="182">
        <f t="shared" si="4"/>
        <v>45139</v>
      </c>
      <c r="C27" s="221">
        <v>45174</v>
      </c>
      <c r="D27" s="221">
        <v>45194</v>
      </c>
      <c r="E27" s="52" t="s">
        <v>21</v>
      </c>
      <c r="F27" s="147">
        <v>9</v>
      </c>
      <c r="G27" s="184">
        <v>4265</v>
      </c>
      <c r="H27" s="185">
        <f t="shared" si="5"/>
        <v>5.5726951227524033</v>
      </c>
      <c r="I27" s="185">
        <f t="shared" si="1"/>
        <v>5.6947303713270712</v>
      </c>
      <c r="J27" s="186">
        <f t="shared" si="2"/>
        <v>24288.025033709957</v>
      </c>
      <c r="K27" s="193">
        <f t="shared" si="6"/>
        <v>23767.544698539001</v>
      </c>
      <c r="L27" s="192">
        <f t="shared" si="3"/>
        <v>520.4803351709561</v>
      </c>
      <c r="M27" s="189">
        <f t="shared" si="7"/>
        <v>42.697228075880439</v>
      </c>
      <c r="N27" s="190">
        <f t="shared" si="8"/>
        <v>563.17756324683648</v>
      </c>
      <c r="O27" s="189">
        <f t="shared" si="9"/>
        <v>0</v>
      </c>
      <c r="P27" s="189">
        <f t="shared" si="10"/>
        <v>0</v>
      </c>
      <c r="Q27" s="189">
        <v>0</v>
      </c>
      <c r="R27" s="190">
        <f t="shared" si="11"/>
        <v>563.17756324683648</v>
      </c>
    </row>
    <row r="28" spans="1:18" x14ac:dyDescent="0.25">
      <c r="A28" s="147">
        <v>9</v>
      </c>
      <c r="B28" s="182">
        <f t="shared" si="4"/>
        <v>45170</v>
      </c>
      <c r="C28" s="221">
        <v>45203</v>
      </c>
      <c r="D28" s="221">
        <v>45223</v>
      </c>
      <c r="E28" s="52" t="s">
        <v>21</v>
      </c>
      <c r="F28" s="147">
        <v>9</v>
      </c>
      <c r="G28" s="184">
        <v>4016</v>
      </c>
      <c r="H28" s="185">
        <f t="shared" si="5"/>
        <v>5.5726951227524033</v>
      </c>
      <c r="I28" s="185">
        <f t="shared" si="1"/>
        <v>5.6947303713270712</v>
      </c>
      <c r="J28" s="186">
        <f t="shared" si="2"/>
        <v>22870.037171249518</v>
      </c>
      <c r="K28" s="193">
        <f t="shared" si="6"/>
        <v>22379.943612973653</v>
      </c>
      <c r="L28" s="192">
        <f t="shared" si="3"/>
        <v>490.09355827586478</v>
      </c>
      <c r="M28" s="189">
        <f t="shared" si="7"/>
        <v>40.204470797827874</v>
      </c>
      <c r="N28" s="190">
        <f t="shared" si="8"/>
        <v>530.29802907369265</v>
      </c>
      <c r="O28" s="189">
        <f t="shared" si="9"/>
        <v>0</v>
      </c>
      <c r="P28" s="189">
        <f t="shared" si="10"/>
        <v>0</v>
      </c>
      <c r="Q28" s="189">
        <v>0</v>
      </c>
      <c r="R28" s="190">
        <f t="shared" si="11"/>
        <v>530.29802907369265</v>
      </c>
    </row>
    <row r="29" spans="1:18" x14ac:dyDescent="0.25">
      <c r="A29" s="111">
        <v>10</v>
      </c>
      <c r="B29" s="182">
        <f t="shared" si="4"/>
        <v>45200</v>
      </c>
      <c r="C29" s="221">
        <v>45233</v>
      </c>
      <c r="D29" s="221">
        <v>45254</v>
      </c>
      <c r="E29" s="52" t="s">
        <v>21</v>
      </c>
      <c r="F29" s="147">
        <v>9</v>
      </c>
      <c r="G29" s="184">
        <v>3105</v>
      </c>
      <c r="H29" s="185">
        <f t="shared" si="5"/>
        <v>5.5726951227524033</v>
      </c>
      <c r="I29" s="185">
        <f t="shared" si="1"/>
        <v>5.6947303713270712</v>
      </c>
      <c r="J29" s="186">
        <f t="shared" si="2"/>
        <v>17682.137802970556</v>
      </c>
      <c r="K29" s="193">
        <f t="shared" si="6"/>
        <v>17303.218356146212</v>
      </c>
      <c r="L29" s="192">
        <f t="shared" si="3"/>
        <v>378.91944682434405</v>
      </c>
      <c r="M29" s="189">
        <f t="shared" si="7"/>
        <v>31.084382925113431</v>
      </c>
      <c r="N29" s="190">
        <f t="shared" si="8"/>
        <v>410.00382974945751</v>
      </c>
      <c r="O29" s="189">
        <f t="shared" si="9"/>
        <v>0</v>
      </c>
      <c r="P29" s="189">
        <f t="shared" si="10"/>
        <v>0</v>
      </c>
      <c r="Q29" s="189">
        <v>0</v>
      </c>
      <c r="R29" s="190">
        <f t="shared" si="11"/>
        <v>410.00382974945751</v>
      </c>
    </row>
    <row r="30" spans="1:18" x14ac:dyDescent="0.25">
      <c r="A30" s="147">
        <v>11</v>
      </c>
      <c r="B30" s="182">
        <f t="shared" si="4"/>
        <v>45231</v>
      </c>
      <c r="C30" s="221">
        <v>45266</v>
      </c>
      <c r="D30" s="221">
        <v>45285</v>
      </c>
      <c r="E30" s="52" t="s">
        <v>21</v>
      </c>
      <c r="F30" s="147">
        <v>9</v>
      </c>
      <c r="G30" s="184">
        <v>2513</v>
      </c>
      <c r="H30" s="185">
        <f t="shared" si="5"/>
        <v>5.5726951227524033</v>
      </c>
      <c r="I30" s="185">
        <f t="shared" si="1"/>
        <v>5.6947303713270712</v>
      </c>
      <c r="J30" s="186">
        <f t="shared" si="2"/>
        <v>14310.857423144929</v>
      </c>
      <c r="K30" s="193">
        <f t="shared" si="6"/>
        <v>14004.18284347679</v>
      </c>
      <c r="L30" s="192">
        <f t="shared" si="3"/>
        <v>306.6745796681389</v>
      </c>
      <c r="M30" s="189">
        <f t="shared" si="7"/>
        <v>25.157827468859921</v>
      </c>
      <c r="N30" s="190">
        <f t="shared" si="8"/>
        <v>331.83240713699882</v>
      </c>
      <c r="O30" s="189">
        <f t="shared" si="9"/>
        <v>0</v>
      </c>
      <c r="P30" s="189">
        <f t="shared" si="10"/>
        <v>0</v>
      </c>
      <c r="Q30" s="189">
        <v>0</v>
      </c>
      <c r="R30" s="190">
        <f t="shared" si="11"/>
        <v>331.83240713699882</v>
      </c>
    </row>
    <row r="31" spans="1:18" x14ac:dyDescent="0.25">
      <c r="A31" s="147">
        <v>12</v>
      </c>
      <c r="B31" s="182">
        <f t="shared" si="4"/>
        <v>45261</v>
      </c>
      <c r="C31" s="222">
        <v>45294</v>
      </c>
      <c r="D31" s="223">
        <v>45315</v>
      </c>
      <c r="E31" s="52" t="s">
        <v>21</v>
      </c>
      <c r="F31" s="147">
        <v>9</v>
      </c>
      <c r="G31" s="184">
        <v>2474</v>
      </c>
      <c r="H31" s="194">
        <f t="shared" si="5"/>
        <v>5.5726951227524033</v>
      </c>
      <c r="I31" s="194">
        <f t="shared" si="1"/>
        <v>5.6947303713270712</v>
      </c>
      <c r="J31" s="195">
        <f t="shared" si="2"/>
        <v>14088.762938663174</v>
      </c>
      <c r="K31" s="196">
        <f t="shared" si="6"/>
        <v>13786.847733689447</v>
      </c>
      <c r="L31" s="197">
        <f t="shared" si="3"/>
        <v>301.91520497372767</v>
      </c>
      <c r="M31" s="189">
        <f t="shared" si="7"/>
        <v>24.767395606032409</v>
      </c>
      <c r="N31" s="190">
        <f t="shared" si="8"/>
        <v>326.68260057976011</v>
      </c>
      <c r="O31" s="189">
        <f t="shared" si="9"/>
        <v>0</v>
      </c>
      <c r="P31" s="189">
        <f t="shared" si="10"/>
        <v>0</v>
      </c>
      <c r="Q31" s="189">
        <v>0</v>
      </c>
      <c r="R31" s="190">
        <f t="shared" si="11"/>
        <v>326.68260057976011</v>
      </c>
    </row>
    <row r="32" spans="1:18" x14ac:dyDescent="0.25">
      <c r="A32" s="111">
        <v>1</v>
      </c>
      <c r="B32" s="198">
        <f t="shared" si="4"/>
        <v>44927</v>
      </c>
      <c r="C32" s="199">
        <f t="shared" ref="C32:D43" si="12">+C20</f>
        <v>44960</v>
      </c>
      <c r="D32" s="199">
        <f t="shared" si="12"/>
        <v>44981</v>
      </c>
      <c r="E32" s="200" t="s">
        <v>22</v>
      </c>
      <c r="F32" s="201">
        <v>9</v>
      </c>
      <c r="G32" s="184">
        <v>2724</v>
      </c>
      <c r="H32" s="185">
        <f t="shared" si="5"/>
        <v>5.5726951227524033</v>
      </c>
      <c r="I32" s="185">
        <f t="shared" si="1"/>
        <v>5.6947303713270712</v>
      </c>
      <c r="J32" s="186">
        <f t="shared" si="2"/>
        <v>15512.445531494941</v>
      </c>
      <c r="K32" s="187">
        <f t="shared" si="6"/>
        <v>15180.021514377546</v>
      </c>
      <c r="L32" s="188">
        <f t="shared" si="3"/>
        <v>332.42401711739512</v>
      </c>
      <c r="M32" s="189">
        <f t="shared" si="7"/>
        <v>27.270163957490816</v>
      </c>
      <c r="N32" s="190">
        <f t="shared" si="8"/>
        <v>359.69418107488593</v>
      </c>
      <c r="O32" s="189">
        <f t="shared" si="9"/>
        <v>0</v>
      </c>
      <c r="P32" s="189">
        <f t="shared" si="10"/>
        <v>0</v>
      </c>
      <c r="Q32" s="189">
        <v>0</v>
      </c>
      <c r="R32" s="190">
        <f t="shared" si="11"/>
        <v>359.69418107488593</v>
      </c>
    </row>
    <row r="33" spans="1:18" x14ac:dyDescent="0.25">
      <c r="A33" s="147">
        <v>2</v>
      </c>
      <c r="B33" s="182">
        <f t="shared" si="4"/>
        <v>44958</v>
      </c>
      <c r="C33" s="202">
        <f t="shared" si="12"/>
        <v>44988</v>
      </c>
      <c r="D33" s="202">
        <f t="shared" si="12"/>
        <v>45009</v>
      </c>
      <c r="E33" s="191" t="s">
        <v>22</v>
      </c>
      <c r="F33" s="147">
        <v>9</v>
      </c>
      <c r="G33" s="184">
        <v>2757</v>
      </c>
      <c r="H33" s="185">
        <f t="shared" si="5"/>
        <v>5.5726951227524033</v>
      </c>
      <c r="I33" s="185">
        <f t="shared" si="1"/>
        <v>5.6947303713270712</v>
      </c>
      <c r="J33" s="186">
        <f t="shared" si="2"/>
        <v>15700.371633748735</v>
      </c>
      <c r="K33" s="187">
        <f t="shared" si="6"/>
        <v>15363.920453428376</v>
      </c>
      <c r="L33" s="188">
        <f t="shared" si="3"/>
        <v>336.45118032035862</v>
      </c>
      <c r="M33" s="189">
        <f t="shared" si="7"/>
        <v>27.600529379883326</v>
      </c>
      <c r="N33" s="190">
        <f t="shared" si="8"/>
        <v>364.05170970024193</v>
      </c>
      <c r="O33" s="189">
        <f t="shared" si="9"/>
        <v>0</v>
      </c>
      <c r="P33" s="189">
        <f t="shared" si="10"/>
        <v>0</v>
      </c>
      <c r="Q33" s="189">
        <v>0</v>
      </c>
      <c r="R33" s="190">
        <f t="shared" si="11"/>
        <v>364.05170970024193</v>
      </c>
    </row>
    <row r="34" spans="1:18" x14ac:dyDescent="0.25">
      <c r="A34" s="147">
        <v>3</v>
      </c>
      <c r="B34" s="182">
        <f t="shared" si="4"/>
        <v>44986</v>
      </c>
      <c r="C34" s="202">
        <f t="shared" si="12"/>
        <v>45021</v>
      </c>
      <c r="D34" s="202">
        <f t="shared" si="12"/>
        <v>45040</v>
      </c>
      <c r="E34" s="191" t="s">
        <v>22</v>
      </c>
      <c r="F34" s="147">
        <v>9</v>
      </c>
      <c r="G34" s="184">
        <v>2641</v>
      </c>
      <c r="H34" s="185">
        <f t="shared" si="5"/>
        <v>5.5726951227524033</v>
      </c>
      <c r="I34" s="185">
        <f t="shared" si="1"/>
        <v>5.6947303713270712</v>
      </c>
      <c r="J34" s="186">
        <f t="shared" si="2"/>
        <v>15039.782910674794</v>
      </c>
      <c r="K34" s="187">
        <f t="shared" ref="K34:K93" si="13">+$G34*H34</f>
        <v>14717.487819189097</v>
      </c>
      <c r="L34" s="188">
        <f t="shared" si="3"/>
        <v>322.29509148569741</v>
      </c>
      <c r="M34" s="189">
        <f t="shared" si="7"/>
        <v>26.439244864806625</v>
      </c>
      <c r="N34" s="190">
        <f t="shared" si="8"/>
        <v>348.73433635050401</v>
      </c>
      <c r="O34" s="189">
        <f t="shared" si="9"/>
        <v>0</v>
      </c>
      <c r="P34" s="189">
        <f t="shared" si="10"/>
        <v>0</v>
      </c>
      <c r="Q34" s="189">
        <v>0</v>
      </c>
      <c r="R34" s="190">
        <f t="shared" si="11"/>
        <v>348.73433635050401</v>
      </c>
    </row>
    <row r="35" spans="1:18" x14ac:dyDescent="0.25">
      <c r="A35" s="111">
        <v>4</v>
      </c>
      <c r="B35" s="182">
        <f t="shared" si="4"/>
        <v>45017</v>
      </c>
      <c r="C35" s="202">
        <f t="shared" si="12"/>
        <v>45049</v>
      </c>
      <c r="D35" s="202">
        <f t="shared" si="12"/>
        <v>45070</v>
      </c>
      <c r="E35" s="191" t="s">
        <v>22</v>
      </c>
      <c r="F35" s="147">
        <v>9</v>
      </c>
      <c r="G35" s="184">
        <v>2417</v>
      </c>
      <c r="H35" s="185">
        <f t="shared" si="5"/>
        <v>5.5726951227524033</v>
      </c>
      <c r="I35" s="185">
        <f t="shared" si="1"/>
        <v>5.6947303713270712</v>
      </c>
      <c r="J35" s="186">
        <f t="shared" si="2"/>
        <v>13764.163307497531</v>
      </c>
      <c r="K35" s="187">
        <f t="shared" si="13"/>
        <v>13469.204111692559</v>
      </c>
      <c r="L35" s="188">
        <f t="shared" ref="L35:L57" si="14">+J35-K35</f>
        <v>294.95919580497139</v>
      </c>
      <c r="M35" s="189">
        <f t="shared" si="7"/>
        <v>24.196764421899889</v>
      </c>
      <c r="N35" s="190">
        <f t="shared" si="8"/>
        <v>319.15596022687129</v>
      </c>
      <c r="O35" s="189">
        <f t="shared" si="9"/>
        <v>0</v>
      </c>
      <c r="P35" s="189">
        <f t="shared" si="10"/>
        <v>0</v>
      </c>
      <c r="Q35" s="189">
        <v>0</v>
      </c>
      <c r="R35" s="190">
        <f t="shared" si="11"/>
        <v>319.15596022687129</v>
      </c>
    </row>
    <row r="36" spans="1:18" x14ac:dyDescent="0.25">
      <c r="A36" s="147">
        <v>5</v>
      </c>
      <c r="B36" s="182">
        <f t="shared" si="4"/>
        <v>45047</v>
      </c>
      <c r="C36" s="202">
        <f t="shared" si="12"/>
        <v>45082</v>
      </c>
      <c r="D36" s="202">
        <f t="shared" si="12"/>
        <v>45103</v>
      </c>
      <c r="E36" s="52" t="s">
        <v>22</v>
      </c>
      <c r="F36" s="147">
        <v>9</v>
      </c>
      <c r="G36" s="184">
        <v>2844</v>
      </c>
      <c r="H36" s="185">
        <f t="shared" si="5"/>
        <v>5.5726951227524033</v>
      </c>
      <c r="I36" s="185">
        <f t="shared" si="1"/>
        <v>5.6947303713270712</v>
      </c>
      <c r="J36" s="186">
        <f t="shared" si="2"/>
        <v>16195.813176054191</v>
      </c>
      <c r="K36" s="187">
        <f t="shared" si="13"/>
        <v>15848.744929107836</v>
      </c>
      <c r="L36" s="188">
        <f t="shared" si="14"/>
        <v>347.06824694635543</v>
      </c>
      <c r="M36" s="189">
        <f t="shared" si="7"/>
        <v>28.471492766190849</v>
      </c>
      <c r="N36" s="190">
        <f t="shared" si="8"/>
        <v>375.53973971254629</v>
      </c>
      <c r="O36" s="189">
        <f t="shared" si="9"/>
        <v>0</v>
      </c>
      <c r="P36" s="189">
        <f t="shared" si="10"/>
        <v>0</v>
      </c>
      <c r="Q36" s="189">
        <v>0</v>
      </c>
      <c r="R36" s="190">
        <f t="shared" si="11"/>
        <v>375.53973971254629</v>
      </c>
    </row>
    <row r="37" spans="1:18" x14ac:dyDescent="0.25">
      <c r="A37" s="147">
        <v>6</v>
      </c>
      <c r="B37" s="182">
        <f t="shared" si="4"/>
        <v>45078</v>
      </c>
      <c r="C37" s="202">
        <f t="shared" si="12"/>
        <v>45112</v>
      </c>
      <c r="D37" s="202">
        <f t="shared" si="12"/>
        <v>45131</v>
      </c>
      <c r="E37" s="52" t="s">
        <v>22</v>
      </c>
      <c r="F37" s="147">
        <v>9</v>
      </c>
      <c r="G37" s="184">
        <v>3500</v>
      </c>
      <c r="H37" s="185">
        <f t="shared" si="5"/>
        <v>5.5726951227524033</v>
      </c>
      <c r="I37" s="185">
        <f t="shared" si="1"/>
        <v>5.6947303713270712</v>
      </c>
      <c r="J37" s="186">
        <f t="shared" si="2"/>
        <v>19931.556299644748</v>
      </c>
      <c r="K37" s="187">
        <f t="shared" si="13"/>
        <v>19504.432929633411</v>
      </c>
      <c r="L37" s="192">
        <f t="shared" si="14"/>
        <v>427.1233700113371</v>
      </c>
      <c r="M37" s="189">
        <f t="shared" si="7"/>
        <v>35.038756920417711</v>
      </c>
      <c r="N37" s="190">
        <f t="shared" si="8"/>
        <v>462.16212693175481</v>
      </c>
      <c r="O37" s="189">
        <f t="shared" si="9"/>
        <v>0</v>
      </c>
      <c r="P37" s="189">
        <f t="shared" si="10"/>
        <v>0</v>
      </c>
      <c r="Q37" s="189">
        <v>0</v>
      </c>
      <c r="R37" s="190">
        <f t="shared" si="11"/>
        <v>462.16212693175481</v>
      </c>
    </row>
    <row r="38" spans="1:18" x14ac:dyDescent="0.25">
      <c r="A38" s="111">
        <v>7</v>
      </c>
      <c r="B38" s="182">
        <f t="shared" si="4"/>
        <v>45108</v>
      </c>
      <c r="C38" s="202">
        <f t="shared" si="12"/>
        <v>45141</v>
      </c>
      <c r="D38" s="202">
        <f t="shared" si="12"/>
        <v>45162</v>
      </c>
      <c r="E38" s="52" t="s">
        <v>22</v>
      </c>
      <c r="F38" s="147">
        <v>9</v>
      </c>
      <c r="G38" s="184">
        <v>3569</v>
      </c>
      <c r="H38" s="185">
        <f t="shared" si="5"/>
        <v>5.5726951227524033</v>
      </c>
      <c r="I38" s="185">
        <f t="shared" si="1"/>
        <v>5.6947303713270712</v>
      </c>
      <c r="J38" s="186">
        <f t="shared" si="2"/>
        <v>20324.492695266315</v>
      </c>
      <c r="K38" s="193">
        <f t="shared" si="13"/>
        <v>19888.948893103327</v>
      </c>
      <c r="L38" s="192">
        <f t="shared" si="14"/>
        <v>435.54380216298887</v>
      </c>
      <c r="M38" s="189">
        <f t="shared" si="7"/>
        <v>35.729520985420237</v>
      </c>
      <c r="N38" s="190">
        <f t="shared" si="8"/>
        <v>471.27332314840908</v>
      </c>
      <c r="O38" s="189">
        <f t="shared" si="9"/>
        <v>0</v>
      </c>
      <c r="P38" s="189">
        <f t="shared" si="10"/>
        <v>0</v>
      </c>
      <c r="Q38" s="189">
        <v>0</v>
      </c>
      <c r="R38" s="190">
        <f t="shared" si="11"/>
        <v>471.27332314840908</v>
      </c>
    </row>
    <row r="39" spans="1:18" x14ac:dyDescent="0.25">
      <c r="A39" s="147">
        <v>8</v>
      </c>
      <c r="B39" s="182">
        <f t="shared" si="4"/>
        <v>45139</v>
      </c>
      <c r="C39" s="202">
        <f t="shared" si="12"/>
        <v>45174</v>
      </c>
      <c r="D39" s="202">
        <f t="shared" si="12"/>
        <v>45194</v>
      </c>
      <c r="E39" s="52" t="s">
        <v>22</v>
      </c>
      <c r="F39" s="147">
        <v>9</v>
      </c>
      <c r="G39" s="184">
        <v>3766</v>
      </c>
      <c r="H39" s="185">
        <f t="shared" si="5"/>
        <v>5.5726951227524033</v>
      </c>
      <c r="I39" s="185">
        <f t="shared" si="1"/>
        <v>5.6947303713270712</v>
      </c>
      <c r="J39" s="186">
        <f t="shared" si="2"/>
        <v>21446.354578417751</v>
      </c>
      <c r="K39" s="193">
        <f t="shared" si="13"/>
        <v>20986.76983228555</v>
      </c>
      <c r="L39" s="192">
        <f t="shared" si="14"/>
        <v>459.58474613220096</v>
      </c>
      <c r="M39" s="189">
        <f t="shared" si="7"/>
        <v>37.70170244636946</v>
      </c>
      <c r="N39" s="190">
        <f t="shared" si="8"/>
        <v>497.2864485785704</v>
      </c>
      <c r="O39" s="189">
        <f t="shared" si="9"/>
        <v>0</v>
      </c>
      <c r="P39" s="189">
        <f t="shared" si="10"/>
        <v>0</v>
      </c>
      <c r="Q39" s="189">
        <v>0</v>
      </c>
      <c r="R39" s="190">
        <f t="shared" si="11"/>
        <v>497.2864485785704</v>
      </c>
    </row>
    <row r="40" spans="1:18" x14ac:dyDescent="0.25">
      <c r="A40" s="147">
        <v>9</v>
      </c>
      <c r="B40" s="182">
        <f t="shared" si="4"/>
        <v>45170</v>
      </c>
      <c r="C40" s="202">
        <f t="shared" si="12"/>
        <v>45203</v>
      </c>
      <c r="D40" s="202">
        <f t="shared" si="12"/>
        <v>45223</v>
      </c>
      <c r="E40" s="52" t="s">
        <v>22</v>
      </c>
      <c r="F40" s="147">
        <v>9</v>
      </c>
      <c r="G40" s="184">
        <v>3456</v>
      </c>
      <c r="H40" s="185">
        <f t="shared" si="5"/>
        <v>5.5726951227524033</v>
      </c>
      <c r="I40" s="185">
        <f t="shared" si="1"/>
        <v>5.6947303713270712</v>
      </c>
      <c r="J40" s="186">
        <f t="shared" si="2"/>
        <v>19680.98816330636</v>
      </c>
      <c r="K40" s="193">
        <f t="shared" si="13"/>
        <v>19259.234344232307</v>
      </c>
      <c r="L40" s="192">
        <f t="shared" si="14"/>
        <v>421.75381907405244</v>
      </c>
      <c r="M40" s="189">
        <f t="shared" si="7"/>
        <v>34.59826969056104</v>
      </c>
      <c r="N40" s="190">
        <f t="shared" si="8"/>
        <v>456.35208876461348</v>
      </c>
      <c r="O40" s="189">
        <f t="shared" si="9"/>
        <v>0</v>
      </c>
      <c r="P40" s="189">
        <f t="shared" si="10"/>
        <v>0</v>
      </c>
      <c r="Q40" s="189">
        <v>0</v>
      </c>
      <c r="R40" s="190">
        <f t="shared" si="11"/>
        <v>456.35208876461348</v>
      </c>
    </row>
    <row r="41" spans="1:18" x14ac:dyDescent="0.25">
      <c r="A41" s="111">
        <v>10</v>
      </c>
      <c r="B41" s="182">
        <f t="shared" si="4"/>
        <v>45200</v>
      </c>
      <c r="C41" s="202">
        <f t="shared" si="12"/>
        <v>45233</v>
      </c>
      <c r="D41" s="202">
        <f t="shared" si="12"/>
        <v>45254</v>
      </c>
      <c r="E41" s="52" t="s">
        <v>22</v>
      </c>
      <c r="F41" s="147">
        <v>9</v>
      </c>
      <c r="G41" s="184">
        <v>2810</v>
      </c>
      <c r="H41" s="185">
        <f t="shared" si="5"/>
        <v>5.5726951227524033</v>
      </c>
      <c r="I41" s="185">
        <f t="shared" si="1"/>
        <v>5.6947303713270712</v>
      </c>
      <c r="J41" s="186">
        <f t="shared" si="2"/>
        <v>16002.192343429069</v>
      </c>
      <c r="K41" s="193">
        <f t="shared" si="13"/>
        <v>15659.273294934253</v>
      </c>
      <c r="L41" s="192">
        <f t="shared" si="14"/>
        <v>342.9190484948158</v>
      </c>
      <c r="M41" s="189">
        <f t="shared" si="7"/>
        <v>28.131116270392507</v>
      </c>
      <c r="N41" s="190">
        <f t="shared" si="8"/>
        <v>371.05016476520831</v>
      </c>
      <c r="O41" s="189">
        <f t="shared" si="9"/>
        <v>0</v>
      </c>
      <c r="P41" s="189">
        <f t="shared" si="10"/>
        <v>0</v>
      </c>
      <c r="Q41" s="189">
        <v>0</v>
      </c>
      <c r="R41" s="190">
        <f t="shared" si="11"/>
        <v>371.05016476520831</v>
      </c>
    </row>
    <row r="42" spans="1:18" x14ac:dyDescent="0.25">
      <c r="A42" s="147">
        <v>11</v>
      </c>
      <c r="B42" s="182">
        <f t="shared" si="4"/>
        <v>45231</v>
      </c>
      <c r="C42" s="202">
        <f t="shared" si="12"/>
        <v>45266</v>
      </c>
      <c r="D42" s="202">
        <f t="shared" si="12"/>
        <v>45285</v>
      </c>
      <c r="E42" s="52" t="s">
        <v>22</v>
      </c>
      <c r="F42" s="147">
        <v>9</v>
      </c>
      <c r="G42" s="184">
        <v>2499</v>
      </c>
      <c r="H42" s="185">
        <f t="shared" si="5"/>
        <v>5.5726951227524033</v>
      </c>
      <c r="I42" s="185">
        <f t="shared" si="1"/>
        <v>5.6947303713270712</v>
      </c>
      <c r="J42" s="186">
        <f t="shared" si="2"/>
        <v>14231.131197946352</v>
      </c>
      <c r="K42" s="193">
        <f t="shared" si="13"/>
        <v>13926.165111758255</v>
      </c>
      <c r="L42" s="192">
        <f t="shared" si="14"/>
        <v>304.9660861880966</v>
      </c>
      <c r="M42" s="189">
        <f t="shared" si="7"/>
        <v>25.017672441178249</v>
      </c>
      <c r="N42" s="190">
        <f t="shared" si="8"/>
        <v>329.98375862927486</v>
      </c>
      <c r="O42" s="189">
        <f t="shared" si="9"/>
        <v>0</v>
      </c>
      <c r="P42" s="189">
        <f t="shared" si="10"/>
        <v>0</v>
      </c>
      <c r="Q42" s="189">
        <v>0</v>
      </c>
      <c r="R42" s="190">
        <f t="shared" si="11"/>
        <v>329.98375862927486</v>
      </c>
    </row>
    <row r="43" spans="1:18" x14ac:dyDescent="0.25">
      <c r="A43" s="147">
        <v>12</v>
      </c>
      <c r="B43" s="182">
        <f t="shared" si="4"/>
        <v>45261</v>
      </c>
      <c r="C43" s="202">
        <f t="shared" si="12"/>
        <v>45294</v>
      </c>
      <c r="D43" s="202">
        <f t="shared" si="12"/>
        <v>45315</v>
      </c>
      <c r="E43" s="52" t="s">
        <v>22</v>
      </c>
      <c r="F43" s="147">
        <v>9</v>
      </c>
      <c r="G43" s="184">
        <v>2532</v>
      </c>
      <c r="H43" s="194">
        <f t="shared" si="5"/>
        <v>5.5726951227524033</v>
      </c>
      <c r="I43" s="194">
        <f t="shared" si="1"/>
        <v>5.6947303713270712</v>
      </c>
      <c r="J43" s="195">
        <f t="shared" si="2"/>
        <v>14419.057300200144</v>
      </c>
      <c r="K43" s="196">
        <f t="shared" si="13"/>
        <v>14110.064050809086</v>
      </c>
      <c r="L43" s="197">
        <f t="shared" si="14"/>
        <v>308.99324939105827</v>
      </c>
      <c r="M43" s="189">
        <f t="shared" si="7"/>
        <v>25.348037863570756</v>
      </c>
      <c r="N43" s="190">
        <f t="shared" si="8"/>
        <v>334.34128725462904</v>
      </c>
      <c r="O43" s="189">
        <f t="shared" si="9"/>
        <v>0</v>
      </c>
      <c r="P43" s="189">
        <f t="shared" si="10"/>
        <v>0</v>
      </c>
      <c r="Q43" s="189">
        <v>0</v>
      </c>
      <c r="R43" s="190">
        <f t="shared" si="11"/>
        <v>334.34128725462904</v>
      </c>
    </row>
    <row r="44" spans="1:18" x14ac:dyDescent="0.25">
      <c r="A44" s="111">
        <v>1</v>
      </c>
      <c r="B44" s="198">
        <f t="shared" ref="B44:B55" si="15">DATE($R$1,A44,1)</f>
        <v>44927</v>
      </c>
      <c r="C44" s="199">
        <f t="shared" ref="C44:D55" si="16">+C32</f>
        <v>44960</v>
      </c>
      <c r="D44" s="199">
        <f t="shared" si="16"/>
        <v>44981</v>
      </c>
      <c r="E44" s="200" t="s">
        <v>82</v>
      </c>
      <c r="F44" s="201">
        <v>9</v>
      </c>
      <c r="G44" s="184">
        <v>137</v>
      </c>
      <c r="H44" s="185">
        <f t="shared" si="5"/>
        <v>5.5726951227524033</v>
      </c>
      <c r="I44" s="185">
        <f t="shared" si="1"/>
        <v>5.6947303713270712</v>
      </c>
      <c r="J44" s="189">
        <f t="shared" ref="J44:J55" si="17">+$G44*I44</f>
        <v>780.17806087180873</v>
      </c>
      <c r="K44" s="193">
        <f t="shared" ref="K44:K55" si="18">+$G44*H44</f>
        <v>763.45923181707929</v>
      </c>
      <c r="L44" s="192">
        <f t="shared" ref="L44:L55" si="19">+J44-K44</f>
        <v>16.71882905472944</v>
      </c>
      <c r="M44" s="189">
        <f t="shared" si="7"/>
        <v>1.3715170565992076</v>
      </c>
      <c r="N44" s="190">
        <f t="shared" si="8"/>
        <v>18.090346111328646</v>
      </c>
      <c r="O44" s="189">
        <f t="shared" si="9"/>
        <v>0</v>
      </c>
      <c r="P44" s="189">
        <f t="shared" si="10"/>
        <v>0</v>
      </c>
      <c r="Q44" s="189">
        <v>0</v>
      </c>
      <c r="R44" s="190">
        <f t="shared" si="11"/>
        <v>18.090346111328646</v>
      </c>
    </row>
    <row r="45" spans="1:18" x14ac:dyDescent="0.25">
      <c r="A45" s="147">
        <v>2</v>
      </c>
      <c r="B45" s="182">
        <f t="shared" si="15"/>
        <v>44958</v>
      </c>
      <c r="C45" s="202">
        <f t="shared" si="16"/>
        <v>44988</v>
      </c>
      <c r="D45" s="202">
        <f t="shared" si="16"/>
        <v>45009</v>
      </c>
      <c r="E45" s="191" t="s">
        <v>82</v>
      </c>
      <c r="F45" s="147">
        <v>9</v>
      </c>
      <c r="G45" s="184">
        <v>132</v>
      </c>
      <c r="H45" s="185">
        <f t="shared" si="5"/>
        <v>5.5726951227524033</v>
      </c>
      <c r="I45" s="185">
        <f t="shared" si="1"/>
        <v>5.6947303713270712</v>
      </c>
      <c r="J45" s="189">
        <f t="shared" si="17"/>
        <v>751.70440901517338</v>
      </c>
      <c r="K45" s="193">
        <f t="shared" si="18"/>
        <v>735.59575620331725</v>
      </c>
      <c r="L45" s="192">
        <f t="shared" si="19"/>
        <v>16.108652811856132</v>
      </c>
      <c r="M45" s="189">
        <f t="shared" si="7"/>
        <v>1.3214616895700395</v>
      </c>
      <c r="N45" s="190">
        <f t="shared" si="8"/>
        <v>17.430114501426171</v>
      </c>
      <c r="O45" s="189">
        <f t="shared" si="9"/>
        <v>0</v>
      </c>
      <c r="P45" s="189">
        <f t="shared" si="10"/>
        <v>0</v>
      </c>
      <c r="Q45" s="189">
        <v>0</v>
      </c>
      <c r="R45" s="190">
        <f t="shared" si="11"/>
        <v>17.430114501426171</v>
      </c>
    </row>
    <row r="46" spans="1:18" x14ac:dyDescent="0.25">
      <c r="A46" s="147">
        <v>3</v>
      </c>
      <c r="B46" s="182">
        <f t="shared" si="15"/>
        <v>44986</v>
      </c>
      <c r="C46" s="202">
        <f t="shared" si="16"/>
        <v>45021</v>
      </c>
      <c r="D46" s="202">
        <f t="shared" si="16"/>
        <v>45040</v>
      </c>
      <c r="E46" s="191" t="s">
        <v>82</v>
      </c>
      <c r="F46" s="147">
        <v>9</v>
      </c>
      <c r="G46" s="184">
        <v>148</v>
      </c>
      <c r="H46" s="185">
        <f t="shared" si="5"/>
        <v>5.5726951227524033</v>
      </c>
      <c r="I46" s="185">
        <f t="shared" si="1"/>
        <v>5.6947303713270712</v>
      </c>
      <c r="J46" s="189">
        <f t="shared" si="17"/>
        <v>842.82009495640648</v>
      </c>
      <c r="K46" s="193">
        <f t="shared" si="18"/>
        <v>824.75887816735565</v>
      </c>
      <c r="L46" s="192">
        <f t="shared" si="19"/>
        <v>18.061216789050832</v>
      </c>
      <c r="M46" s="189">
        <f t="shared" si="7"/>
        <v>1.4816388640633775</v>
      </c>
      <c r="N46" s="190">
        <f t="shared" si="8"/>
        <v>19.542855653114209</v>
      </c>
      <c r="O46" s="189">
        <f t="shared" si="9"/>
        <v>0</v>
      </c>
      <c r="P46" s="189">
        <f t="shared" si="10"/>
        <v>0</v>
      </c>
      <c r="Q46" s="189">
        <v>0</v>
      </c>
      <c r="R46" s="190">
        <f t="shared" si="11"/>
        <v>19.542855653114209</v>
      </c>
    </row>
    <row r="47" spans="1:18" x14ac:dyDescent="0.25">
      <c r="A47" s="111">
        <v>4</v>
      </c>
      <c r="B47" s="182">
        <f t="shared" si="15"/>
        <v>45017</v>
      </c>
      <c r="C47" s="202">
        <f t="shared" si="16"/>
        <v>45049</v>
      </c>
      <c r="D47" s="202">
        <f t="shared" si="16"/>
        <v>45070</v>
      </c>
      <c r="E47" s="191" t="s">
        <v>82</v>
      </c>
      <c r="F47" s="147">
        <v>9</v>
      </c>
      <c r="G47" s="184">
        <v>92</v>
      </c>
      <c r="H47" s="185">
        <f t="shared" si="5"/>
        <v>5.5726951227524033</v>
      </c>
      <c r="I47" s="185">
        <f t="shared" si="1"/>
        <v>5.6947303713270712</v>
      </c>
      <c r="J47" s="189">
        <f t="shared" si="17"/>
        <v>523.91519416209053</v>
      </c>
      <c r="K47" s="193">
        <f t="shared" si="18"/>
        <v>512.68795129322109</v>
      </c>
      <c r="L47" s="192">
        <f t="shared" si="19"/>
        <v>11.227242868869439</v>
      </c>
      <c r="M47" s="189">
        <f t="shared" si="7"/>
        <v>0.92101875333669425</v>
      </c>
      <c r="N47" s="190">
        <f t="shared" si="8"/>
        <v>12.148261622206133</v>
      </c>
      <c r="O47" s="189">
        <f t="shared" si="9"/>
        <v>0</v>
      </c>
      <c r="P47" s="189">
        <f t="shared" si="10"/>
        <v>0</v>
      </c>
      <c r="Q47" s="189">
        <v>0</v>
      </c>
      <c r="R47" s="190">
        <f t="shared" si="11"/>
        <v>12.148261622206133</v>
      </c>
    </row>
    <row r="48" spans="1:18" x14ac:dyDescent="0.25">
      <c r="A48" s="147">
        <v>5</v>
      </c>
      <c r="B48" s="182">
        <f t="shared" si="15"/>
        <v>45047</v>
      </c>
      <c r="C48" s="202">
        <f t="shared" si="16"/>
        <v>45082</v>
      </c>
      <c r="D48" s="202">
        <f t="shared" si="16"/>
        <v>45103</v>
      </c>
      <c r="E48" s="191" t="s">
        <v>82</v>
      </c>
      <c r="F48" s="147">
        <v>9</v>
      </c>
      <c r="G48" s="184">
        <v>104</v>
      </c>
      <c r="H48" s="185">
        <f t="shared" si="5"/>
        <v>5.5726951227524033</v>
      </c>
      <c r="I48" s="185">
        <f t="shared" si="1"/>
        <v>5.6947303713270712</v>
      </c>
      <c r="J48" s="189">
        <f t="shared" si="17"/>
        <v>592.25195861801535</v>
      </c>
      <c r="K48" s="193">
        <f t="shared" si="18"/>
        <v>579.56029276624997</v>
      </c>
      <c r="L48" s="192">
        <f t="shared" si="19"/>
        <v>12.691665851765379</v>
      </c>
      <c r="M48" s="189">
        <f t="shared" si="7"/>
        <v>1.0411516342066978</v>
      </c>
      <c r="N48" s="190">
        <f t="shared" si="8"/>
        <v>13.732817485972076</v>
      </c>
      <c r="O48" s="189">
        <f t="shared" si="9"/>
        <v>0</v>
      </c>
      <c r="P48" s="189">
        <f t="shared" si="10"/>
        <v>0</v>
      </c>
      <c r="Q48" s="189">
        <v>0</v>
      </c>
      <c r="R48" s="190">
        <f t="shared" si="11"/>
        <v>13.732817485972076</v>
      </c>
    </row>
    <row r="49" spans="1:18" x14ac:dyDescent="0.25">
      <c r="A49" s="147">
        <v>6</v>
      </c>
      <c r="B49" s="182">
        <f t="shared" si="15"/>
        <v>45078</v>
      </c>
      <c r="C49" s="202">
        <f t="shared" si="16"/>
        <v>45112</v>
      </c>
      <c r="D49" s="202">
        <f t="shared" si="16"/>
        <v>45131</v>
      </c>
      <c r="E49" s="191" t="s">
        <v>82</v>
      </c>
      <c r="F49" s="147">
        <v>9</v>
      </c>
      <c r="G49" s="184">
        <v>156</v>
      </c>
      <c r="H49" s="185">
        <f t="shared" si="5"/>
        <v>5.5726951227524033</v>
      </c>
      <c r="I49" s="185">
        <f t="shared" si="1"/>
        <v>5.6947303713270712</v>
      </c>
      <c r="J49" s="189">
        <f t="shared" si="17"/>
        <v>888.37793792702314</v>
      </c>
      <c r="K49" s="193">
        <f t="shared" si="18"/>
        <v>869.3404391493749</v>
      </c>
      <c r="L49" s="192">
        <f t="shared" si="19"/>
        <v>19.037498777648239</v>
      </c>
      <c r="M49" s="189">
        <f t="shared" si="7"/>
        <v>1.5617274513100468</v>
      </c>
      <c r="N49" s="190">
        <f t="shared" si="8"/>
        <v>20.599226228958287</v>
      </c>
      <c r="O49" s="189">
        <f t="shared" si="9"/>
        <v>0</v>
      </c>
      <c r="P49" s="189">
        <f t="shared" si="10"/>
        <v>0</v>
      </c>
      <c r="Q49" s="189">
        <v>0</v>
      </c>
      <c r="R49" s="190">
        <f t="shared" si="11"/>
        <v>20.599226228958287</v>
      </c>
    </row>
    <row r="50" spans="1:18" x14ac:dyDescent="0.25">
      <c r="A50" s="111">
        <v>7</v>
      </c>
      <c r="B50" s="182">
        <f t="shared" si="15"/>
        <v>45108</v>
      </c>
      <c r="C50" s="202">
        <f t="shared" si="16"/>
        <v>45141</v>
      </c>
      <c r="D50" s="202">
        <f t="shared" si="16"/>
        <v>45162</v>
      </c>
      <c r="E50" s="191" t="s">
        <v>82</v>
      </c>
      <c r="F50" s="147">
        <v>9</v>
      </c>
      <c r="G50" s="184">
        <v>155</v>
      </c>
      <c r="H50" s="185">
        <f t="shared" si="5"/>
        <v>5.5726951227524033</v>
      </c>
      <c r="I50" s="185">
        <f t="shared" si="1"/>
        <v>5.6947303713270712</v>
      </c>
      <c r="J50" s="189">
        <f t="shared" si="17"/>
        <v>882.68320755569607</v>
      </c>
      <c r="K50" s="193">
        <f t="shared" si="18"/>
        <v>863.76774402662249</v>
      </c>
      <c r="L50" s="192">
        <f t="shared" si="19"/>
        <v>18.915463529073577</v>
      </c>
      <c r="M50" s="189">
        <f t="shared" si="7"/>
        <v>1.5517163779042131</v>
      </c>
      <c r="N50" s="190">
        <f t="shared" si="8"/>
        <v>20.46717990697779</v>
      </c>
      <c r="O50" s="189">
        <f t="shared" si="9"/>
        <v>0</v>
      </c>
      <c r="P50" s="189">
        <f t="shared" si="10"/>
        <v>0</v>
      </c>
      <c r="Q50" s="189">
        <v>0</v>
      </c>
      <c r="R50" s="190">
        <f t="shared" si="11"/>
        <v>20.46717990697779</v>
      </c>
    </row>
    <row r="51" spans="1:18" x14ac:dyDescent="0.25">
      <c r="A51" s="147">
        <v>8</v>
      </c>
      <c r="B51" s="182">
        <f t="shared" si="15"/>
        <v>45139</v>
      </c>
      <c r="C51" s="202">
        <f t="shared" si="16"/>
        <v>45174</v>
      </c>
      <c r="D51" s="202">
        <f t="shared" si="16"/>
        <v>45194</v>
      </c>
      <c r="E51" s="191" t="s">
        <v>82</v>
      </c>
      <c r="F51" s="147">
        <v>9</v>
      </c>
      <c r="G51" s="184">
        <v>159</v>
      </c>
      <c r="H51" s="185">
        <f t="shared" si="5"/>
        <v>5.5726951227524033</v>
      </c>
      <c r="I51" s="185">
        <f t="shared" si="1"/>
        <v>5.6947303713270712</v>
      </c>
      <c r="J51" s="189">
        <f t="shared" si="17"/>
        <v>905.46212904100435</v>
      </c>
      <c r="K51" s="193">
        <f t="shared" si="18"/>
        <v>886.05852451763212</v>
      </c>
      <c r="L51" s="192">
        <f t="shared" si="19"/>
        <v>19.403604523372223</v>
      </c>
      <c r="M51" s="189">
        <f t="shared" si="7"/>
        <v>1.5917606715275476</v>
      </c>
      <c r="N51" s="190">
        <f t="shared" si="8"/>
        <v>20.995365194899772</v>
      </c>
      <c r="O51" s="189">
        <f t="shared" si="9"/>
        <v>0</v>
      </c>
      <c r="P51" s="189">
        <f t="shared" si="10"/>
        <v>0</v>
      </c>
      <c r="Q51" s="189">
        <v>0</v>
      </c>
      <c r="R51" s="190">
        <f t="shared" si="11"/>
        <v>20.995365194899772</v>
      </c>
    </row>
    <row r="52" spans="1:18" x14ac:dyDescent="0.25">
      <c r="A52" s="147">
        <v>9</v>
      </c>
      <c r="B52" s="182">
        <f t="shared" si="15"/>
        <v>45170</v>
      </c>
      <c r="C52" s="202">
        <f t="shared" si="16"/>
        <v>45203</v>
      </c>
      <c r="D52" s="202">
        <f t="shared" si="16"/>
        <v>45223</v>
      </c>
      <c r="E52" s="191" t="s">
        <v>82</v>
      </c>
      <c r="F52" s="147">
        <v>9</v>
      </c>
      <c r="G52" s="184">
        <v>144</v>
      </c>
      <c r="H52" s="185">
        <f t="shared" si="5"/>
        <v>5.5726951227524033</v>
      </c>
      <c r="I52" s="185">
        <f t="shared" si="1"/>
        <v>5.6947303713270712</v>
      </c>
      <c r="J52" s="189">
        <f t="shared" si="17"/>
        <v>820.0411734710982</v>
      </c>
      <c r="K52" s="193">
        <f t="shared" si="18"/>
        <v>802.46809767634613</v>
      </c>
      <c r="L52" s="192">
        <f t="shared" si="19"/>
        <v>17.573075794752071</v>
      </c>
      <c r="M52" s="189">
        <f t="shared" si="7"/>
        <v>1.441594570440043</v>
      </c>
      <c r="N52" s="190">
        <f t="shared" si="8"/>
        <v>19.014670365192114</v>
      </c>
      <c r="O52" s="189">
        <f t="shared" si="9"/>
        <v>0</v>
      </c>
      <c r="P52" s="189">
        <f t="shared" si="10"/>
        <v>0</v>
      </c>
      <c r="Q52" s="189">
        <v>0</v>
      </c>
      <c r="R52" s="190">
        <f t="shared" si="11"/>
        <v>19.014670365192114</v>
      </c>
    </row>
    <row r="53" spans="1:18" x14ac:dyDescent="0.25">
      <c r="A53" s="111">
        <v>10</v>
      </c>
      <c r="B53" s="182">
        <f t="shared" si="15"/>
        <v>45200</v>
      </c>
      <c r="C53" s="202">
        <f t="shared" si="16"/>
        <v>45233</v>
      </c>
      <c r="D53" s="202">
        <f t="shared" si="16"/>
        <v>45254</v>
      </c>
      <c r="E53" s="191" t="s">
        <v>82</v>
      </c>
      <c r="F53" s="147">
        <v>9</v>
      </c>
      <c r="G53" s="184">
        <v>117</v>
      </c>
      <c r="H53" s="185">
        <f t="shared" si="5"/>
        <v>5.5726951227524033</v>
      </c>
      <c r="I53" s="185">
        <f t="shared" si="1"/>
        <v>5.6947303713270712</v>
      </c>
      <c r="J53" s="189">
        <f t="shared" si="17"/>
        <v>666.28345344526736</v>
      </c>
      <c r="K53" s="193">
        <f t="shared" si="18"/>
        <v>652.00532936203115</v>
      </c>
      <c r="L53" s="192">
        <f t="shared" si="19"/>
        <v>14.278124083236207</v>
      </c>
      <c r="M53" s="189">
        <f t="shared" si="7"/>
        <v>1.1712955884825351</v>
      </c>
      <c r="N53" s="190">
        <f t="shared" si="8"/>
        <v>15.449419671718742</v>
      </c>
      <c r="O53" s="189">
        <f t="shared" si="9"/>
        <v>0</v>
      </c>
      <c r="P53" s="189">
        <f t="shared" si="10"/>
        <v>0</v>
      </c>
      <c r="Q53" s="189">
        <v>0</v>
      </c>
      <c r="R53" s="190">
        <f t="shared" si="11"/>
        <v>15.449419671718742</v>
      </c>
    </row>
    <row r="54" spans="1:18" x14ac:dyDescent="0.25">
      <c r="A54" s="147">
        <v>11</v>
      </c>
      <c r="B54" s="182">
        <f t="shared" si="15"/>
        <v>45231</v>
      </c>
      <c r="C54" s="202">
        <f t="shared" si="16"/>
        <v>45266</v>
      </c>
      <c r="D54" s="202">
        <f t="shared" si="16"/>
        <v>45285</v>
      </c>
      <c r="E54" s="191" t="s">
        <v>82</v>
      </c>
      <c r="F54" s="147">
        <v>9</v>
      </c>
      <c r="G54" s="184">
        <v>134</v>
      </c>
      <c r="H54" s="185">
        <f t="shared" si="5"/>
        <v>5.5726951227524033</v>
      </c>
      <c r="I54" s="185">
        <f t="shared" si="1"/>
        <v>5.6947303713270712</v>
      </c>
      <c r="J54" s="189">
        <f t="shared" si="17"/>
        <v>763.09386975782752</v>
      </c>
      <c r="K54" s="193">
        <f t="shared" si="18"/>
        <v>746.74114644882206</v>
      </c>
      <c r="L54" s="192">
        <f t="shared" si="19"/>
        <v>16.352723309005455</v>
      </c>
      <c r="M54" s="189">
        <f t="shared" si="7"/>
        <v>1.3414838363817068</v>
      </c>
      <c r="N54" s="190">
        <f t="shared" si="8"/>
        <v>17.694207145387161</v>
      </c>
      <c r="O54" s="189">
        <f t="shared" si="9"/>
        <v>0</v>
      </c>
      <c r="P54" s="189">
        <f t="shared" si="10"/>
        <v>0</v>
      </c>
      <c r="Q54" s="189">
        <v>0</v>
      </c>
      <c r="R54" s="190">
        <f t="shared" si="11"/>
        <v>17.694207145387161</v>
      </c>
    </row>
    <row r="55" spans="1:18" x14ac:dyDescent="0.25">
      <c r="A55" s="147">
        <v>12</v>
      </c>
      <c r="B55" s="182">
        <f t="shared" si="15"/>
        <v>45261</v>
      </c>
      <c r="C55" s="202">
        <f t="shared" si="16"/>
        <v>45294</v>
      </c>
      <c r="D55" s="202">
        <f t="shared" si="16"/>
        <v>45315</v>
      </c>
      <c r="E55" s="191" t="s">
        <v>82</v>
      </c>
      <c r="F55" s="147">
        <v>9</v>
      </c>
      <c r="G55" s="184">
        <v>145</v>
      </c>
      <c r="H55" s="194">
        <f t="shared" si="5"/>
        <v>5.5726951227524033</v>
      </c>
      <c r="I55" s="194">
        <f t="shared" si="1"/>
        <v>5.6947303713270712</v>
      </c>
      <c r="J55" s="195">
        <f t="shared" si="17"/>
        <v>825.73590384242527</v>
      </c>
      <c r="K55" s="196">
        <f t="shared" si="18"/>
        <v>808.04079279909843</v>
      </c>
      <c r="L55" s="197">
        <f t="shared" si="19"/>
        <v>17.695111043326847</v>
      </c>
      <c r="M55" s="189">
        <f t="shared" si="7"/>
        <v>1.4516056438458769</v>
      </c>
      <c r="N55" s="190">
        <f t="shared" si="8"/>
        <v>19.146716687172724</v>
      </c>
      <c r="O55" s="189">
        <f t="shared" si="9"/>
        <v>0</v>
      </c>
      <c r="P55" s="189">
        <f t="shared" si="10"/>
        <v>0</v>
      </c>
      <c r="Q55" s="189">
        <v>0</v>
      </c>
      <c r="R55" s="190">
        <f t="shared" si="11"/>
        <v>19.146716687172724</v>
      </c>
    </row>
    <row r="56" spans="1:18" s="203" customFormat="1" x14ac:dyDescent="0.25">
      <c r="A56" s="111">
        <v>1</v>
      </c>
      <c r="B56" s="198">
        <f t="shared" si="4"/>
        <v>44927</v>
      </c>
      <c r="C56" s="199">
        <f t="shared" ref="C56:D67" si="20">+C32</f>
        <v>44960</v>
      </c>
      <c r="D56" s="199">
        <f t="shared" si="20"/>
        <v>44981</v>
      </c>
      <c r="E56" s="200" t="s">
        <v>14</v>
      </c>
      <c r="F56" s="201">
        <v>9</v>
      </c>
      <c r="G56" s="184">
        <v>828</v>
      </c>
      <c r="H56" s="185">
        <f t="shared" si="5"/>
        <v>5.5726951227524033</v>
      </c>
      <c r="I56" s="185">
        <f t="shared" si="1"/>
        <v>5.6947303713270712</v>
      </c>
      <c r="J56" s="186">
        <f t="shared" si="2"/>
        <v>4715.2367474588145</v>
      </c>
      <c r="K56" s="187">
        <f t="shared" si="13"/>
        <v>4614.1915616389897</v>
      </c>
      <c r="L56" s="188">
        <f t="shared" si="14"/>
        <v>101.04518581982484</v>
      </c>
      <c r="M56" s="189">
        <f t="shared" si="7"/>
        <v>8.2891687800302485</v>
      </c>
      <c r="N56" s="190">
        <f t="shared" si="8"/>
        <v>109.33435459985509</v>
      </c>
      <c r="O56" s="189">
        <f t="shared" si="9"/>
        <v>0</v>
      </c>
      <c r="P56" s="189">
        <f t="shared" si="10"/>
        <v>0</v>
      </c>
      <c r="Q56" s="189">
        <v>0</v>
      </c>
      <c r="R56" s="190">
        <f t="shared" si="11"/>
        <v>109.33435459985509</v>
      </c>
    </row>
    <row r="57" spans="1:18" x14ac:dyDescent="0.25">
      <c r="A57" s="147">
        <v>2</v>
      </c>
      <c r="B57" s="182">
        <f t="shared" si="4"/>
        <v>44958</v>
      </c>
      <c r="C57" s="202">
        <f t="shared" si="20"/>
        <v>44988</v>
      </c>
      <c r="D57" s="202">
        <f t="shared" si="20"/>
        <v>45009</v>
      </c>
      <c r="E57" s="191" t="s">
        <v>14</v>
      </c>
      <c r="F57" s="147">
        <v>9</v>
      </c>
      <c r="G57" s="184">
        <v>786</v>
      </c>
      <c r="H57" s="185">
        <f t="shared" si="5"/>
        <v>5.5726951227524033</v>
      </c>
      <c r="I57" s="185">
        <f t="shared" si="1"/>
        <v>5.6947303713270712</v>
      </c>
      <c r="J57" s="186">
        <f t="shared" si="2"/>
        <v>4476.0580718630781</v>
      </c>
      <c r="K57" s="187">
        <f t="shared" si="13"/>
        <v>4380.1383664833893</v>
      </c>
      <c r="L57" s="188">
        <f t="shared" si="14"/>
        <v>95.919705379688821</v>
      </c>
      <c r="M57" s="189">
        <f t="shared" si="7"/>
        <v>7.8687036969852349</v>
      </c>
      <c r="N57" s="190">
        <f t="shared" si="8"/>
        <v>103.78840907667406</v>
      </c>
      <c r="O57" s="189">
        <f t="shared" si="9"/>
        <v>0</v>
      </c>
      <c r="P57" s="189">
        <f t="shared" si="10"/>
        <v>0</v>
      </c>
      <c r="Q57" s="189">
        <v>0</v>
      </c>
      <c r="R57" s="190">
        <f t="shared" si="11"/>
        <v>103.78840907667406</v>
      </c>
    </row>
    <row r="58" spans="1:18" x14ac:dyDescent="0.25">
      <c r="A58" s="147">
        <v>3</v>
      </c>
      <c r="B58" s="182">
        <f t="shared" si="4"/>
        <v>44986</v>
      </c>
      <c r="C58" s="202">
        <f t="shared" si="20"/>
        <v>45021</v>
      </c>
      <c r="D58" s="202">
        <f t="shared" si="20"/>
        <v>45040</v>
      </c>
      <c r="E58" s="191" t="s">
        <v>14</v>
      </c>
      <c r="F58" s="147">
        <v>9</v>
      </c>
      <c r="G58" s="184">
        <v>702</v>
      </c>
      <c r="H58" s="185">
        <f t="shared" si="5"/>
        <v>5.5726951227524033</v>
      </c>
      <c r="I58" s="185">
        <f t="shared" si="1"/>
        <v>5.6947303713270712</v>
      </c>
      <c r="J58" s="186">
        <f t="shared" si="2"/>
        <v>3997.7007206716039</v>
      </c>
      <c r="K58" s="187">
        <f t="shared" si="13"/>
        <v>3912.0319761721871</v>
      </c>
      <c r="L58" s="188">
        <f>+J58-K58</f>
        <v>85.668744499416789</v>
      </c>
      <c r="M58" s="189">
        <f t="shared" si="7"/>
        <v>7.0277735308952103</v>
      </c>
      <c r="N58" s="190">
        <f t="shared" si="8"/>
        <v>92.696518030312006</v>
      </c>
      <c r="O58" s="189">
        <f t="shared" si="9"/>
        <v>0</v>
      </c>
      <c r="P58" s="189">
        <f t="shared" si="10"/>
        <v>0</v>
      </c>
      <c r="Q58" s="189">
        <v>0</v>
      </c>
      <c r="R58" s="190">
        <f t="shared" si="11"/>
        <v>92.696518030312006</v>
      </c>
    </row>
    <row r="59" spans="1:18" x14ac:dyDescent="0.25">
      <c r="A59" s="111">
        <v>4</v>
      </c>
      <c r="B59" s="182">
        <f t="shared" si="4"/>
        <v>45017</v>
      </c>
      <c r="C59" s="202">
        <f t="shared" si="20"/>
        <v>45049</v>
      </c>
      <c r="D59" s="202">
        <f t="shared" si="20"/>
        <v>45070</v>
      </c>
      <c r="E59" s="191" t="s">
        <v>14</v>
      </c>
      <c r="F59" s="147">
        <v>9</v>
      </c>
      <c r="G59" s="184">
        <v>519</v>
      </c>
      <c r="H59" s="185">
        <f t="shared" si="5"/>
        <v>5.5726951227524033</v>
      </c>
      <c r="I59" s="185">
        <f t="shared" si="1"/>
        <v>5.6947303713270712</v>
      </c>
      <c r="J59" s="186">
        <f t="shared" si="2"/>
        <v>2955.5650627187501</v>
      </c>
      <c r="K59" s="187">
        <f t="shared" si="13"/>
        <v>2892.2287687084972</v>
      </c>
      <c r="L59" s="188">
        <f t="shared" ref="L59:L81" si="21">+J59-K59</f>
        <v>63.336294010252914</v>
      </c>
      <c r="M59" s="189">
        <f t="shared" si="7"/>
        <v>5.1957470976276552</v>
      </c>
      <c r="N59" s="190">
        <f t="shared" si="8"/>
        <v>68.532041107880573</v>
      </c>
      <c r="O59" s="189">
        <f t="shared" si="9"/>
        <v>0</v>
      </c>
      <c r="P59" s="189">
        <f t="shared" si="10"/>
        <v>0</v>
      </c>
      <c r="Q59" s="189">
        <v>0</v>
      </c>
      <c r="R59" s="190">
        <f t="shared" si="11"/>
        <v>68.532041107880573</v>
      </c>
    </row>
    <row r="60" spans="1:18" x14ac:dyDescent="0.25">
      <c r="A60" s="147">
        <v>5</v>
      </c>
      <c r="B60" s="182">
        <f t="shared" si="4"/>
        <v>45047</v>
      </c>
      <c r="C60" s="202">
        <f t="shared" si="20"/>
        <v>45082</v>
      </c>
      <c r="D60" s="202">
        <f t="shared" si="20"/>
        <v>45103</v>
      </c>
      <c r="E60" s="52" t="s">
        <v>14</v>
      </c>
      <c r="F60" s="147">
        <v>9</v>
      </c>
      <c r="G60" s="184">
        <v>720</v>
      </c>
      <c r="H60" s="185">
        <f t="shared" si="5"/>
        <v>5.5726951227524033</v>
      </c>
      <c r="I60" s="185">
        <f t="shared" si="1"/>
        <v>5.6947303713270712</v>
      </c>
      <c r="J60" s="186">
        <f t="shared" si="2"/>
        <v>4100.2058673554911</v>
      </c>
      <c r="K60" s="187">
        <f t="shared" si="13"/>
        <v>4012.3404883817302</v>
      </c>
      <c r="L60" s="188">
        <f t="shared" si="21"/>
        <v>87.865378973760926</v>
      </c>
      <c r="M60" s="189">
        <f t="shared" si="7"/>
        <v>7.207972852200216</v>
      </c>
      <c r="N60" s="190">
        <f t="shared" si="8"/>
        <v>95.07335182596114</v>
      </c>
      <c r="O60" s="189">
        <f t="shared" si="9"/>
        <v>0</v>
      </c>
      <c r="P60" s="189">
        <f t="shared" si="10"/>
        <v>0</v>
      </c>
      <c r="Q60" s="189">
        <v>0</v>
      </c>
      <c r="R60" s="190">
        <f t="shared" si="11"/>
        <v>95.07335182596114</v>
      </c>
    </row>
    <row r="61" spans="1:18" x14ac:dyDescent="0.25">
      <c r="A61" s="147">
        <v>6</v>
      </c>
      <c r="B61" s="182">
        <f t="shared" si="4"/>
        <v>45078</v>
      </c>
      <c r="C61" s="202">
        <f t="shared" si="20"/>
        <v>45112</v>
      </c>
      <c r="D61" s="202">
        <f t="shared" si="20"/>
        <v>45131</v>
      </c>
      <c r="E61" s="52" t="s">
        <v>14</v>
      </c>
      <c r="F61" s="147">
        <v>9</v>
      </c>
      <c r="G61" s="184">
        <v>975</v>
      </c>
      <c r="H61" s="185">
        <f t="shared" si="5"/>
        <v>5.5726951227524033</v>
      </c>
      <c r="I61" s="185">
        <f t="shared" si="1"/>
        <v>5.6947303713270712</v>
      </c>
      <c r="J61" s="186">
        <f t="shared" si="2"/>
        <v>5552.3621120438947</v>
      </c>
      <c r="K61" s="187">
        <f t="shared" si="13"/>
        <v>5433.3777446835929</v>
      </c>
      <c r="L61" s="192">
        <f t="shared" si="21"/>
        <v>118.9843673603018</v>
      </c>
      <c r="M61" s="189">
        <f t="shared" si="7"/>
        <v>9.7607965706877931</v>
      </c>
      <c r="N61" s="190">
        <f t="shared" si="8"/>
        <v>128.74516393098961</v>
      </c>
      <c r="O61" s="189">
        <f t="shared" si="9"/>
        <v>0</v>
      </c>
      <c r="P61" s="189">
        <f t="shared" si="10"/>
        <v>0</v>
      </c>
      <c r="Q61" s="189">
        <v>0</v>
      </c>
      <c r="R61" s="190">
        <f t="shared" si="11"/>
        <v>128.74516393098961</v>
      </c>
    </row>
    <row r="62" spans="1:18" x14ac:dyDescent="0.25">
      <c r="A62" s="111">
        <v>7</v>
      </c>
      <c r="B62" s="182">
        <f t="shared" si="4"/>
        <v>45108</v>
      </c>
      <c r="C62" s="202">
        <f t="shared" si="20"/>
        <v>45141</v>
      </c>
      <c r="D62" s="202">
        <f t="shared" si="20"/>
        <v>45162</v>
      </c>
      <c r="E62" s="52" t="s">
        <v>14</v>
      </c>
      <c r="F62" s="147">
        <v>9</v>
      </c>
      <c r="G62" s="184">
        <v>924</v>
      </c>
      <c r="H62" s="185">
        <f t="shared" si="5"/>
        <v>5.5726951227524033</v>
      </c>
      <c r="I62" s="185">
        <f t="shared" si="1"/>
        <v>5.6947303713270712</v>
      </c>
      <c r="J62" s="186">
        <f t="shared" si="2"/>
        <v>5261.930863106214</v>
      </c>
      <c r="K62" s="193">
        <f t="shared" si="13"/>
        <v>5149.1702934232208</v>
      </c>
      <c r="L62" s="192">
        <f t="shared" si="21"/>
        <v>112.76056968299326</v>
      </c>
      <c r="M62" s="189">
        <f t="shared" si="7"/>
        <v>9.2502318269902766</v>
      </c>
      <c r="N62" s="190">
        <f t="shared" si="8"/>
        <v>122.01080150998354</v>
      </c>
      <c r="O62" s="189">
        <f t="shared" si="9"/>
        <v>0</v>
      </c>
      <c r="P62" s="189">
        <f t="shared" si="10"/>
        <v>0</v>
      </c>
      <c r="Q62" s="189">
        <v>0</v>
      </c>
      <c r="R62" s="190">
        <f t="shared" si="11"/>
        <v>122.01080150998354</v>
      </c>
    </row>
    <row r="63" spans="1:18" x14ac:dyDescent="0.25">
      <c r="A63" s="147">
        <v>8</v>
      </c>
      <c r="B63" s="182">
        <f t="shared" si="4"/>
        <v>45139</v>
      </c>
      <c r="C63" s="202">
        <f t="shared" si="20"/>
        <v>45174</v>
      </c>
      <c r="D63" s="202">
        <f t="shared" si="20"/>
        <v>45194</v>
      </c>
      <c r="E63" s="52" t="s">
        <v>14</v>
      </c>
      <c r="F63" s="147">
        <v>9</v>
      </c>
      <c r="G63" s="184">
        <v>1053</v>
      </c>
      <c r="H63" s="185">
        <f t="shared" si="5"/>
        <v>5.5726951227524033</v>
      </c>
      <c r="I63" s="185">
        <f t="shared" si="1"/>
        <v>5.6947303713270712</v>
      </c>
      <c r="J63" s="186">
        <f t="shared" si="2"/>
        <v>5996.5510810074056</v>
      </c>
      <c r="K63" s="193">
        <f t="shared" si="13"/>
        <v>5868.0479642582804</v>
      </c>
      <c r="L63" s="192">
        <f t="shared" si="21"/>
        <v>128.50311674912518</v>
      </c>
      <c r="M63" s="189">
        <f t="shared" si="7"/>
        <v>10.541660296342815</v>
      </c>
      <c r="N63" s="190">
        <f t="shared" si="8"/>
        <v>139.04477704546801</v>
      </c>
      <c r="O63" s="189">
        <f t="shared" si="9"/>
        <v>0</v>
      </c>
      <c r="P63" s="189">
        <f t="shared" si="10"/>
        <v>0</v>
      </c>
      <c r="Q63" s="189">
        <v>0</v>
      </c>
      <c r="R63" s="190">
        <f t="shared" si="11"/>
        <v>139.04477704546801</v>
      </c>
    </row>
    <row r="64" spans="1:18" x14ac:dyDescent="0.25">
      <c r="A64" s="147">
        <v>9</v>
      </c>
      <c r="B64" s="182">
        <f t="shared" si="4"/>
        <v>45170</v>
      </c>
      <c r="C64" s="202">
        <f t="shared" si="20"/>
        <v>45203</v>
      </c>
      <c r="D64" s="202">
        <f t="shared" si="20"/>
        <v>45223</v>
      </c>
      <c r="E64" s="52" t="s">
        <v>14</v>
      </c>
      <c r="F64" s="147">
        <v>9</v>
      </c>
      <c r="G64" s="184">
        <v>905</v>
      </c>
      <c r="H64" s="185">
        <f t="shared" si="5"/>
        <v>5.5726951227524033</v>
      </c>
      <c r="I64" s="185">
        <f t="shared" ref="I64:I107" si="22">$J$3</f>
        <v>5.6947303713270712</v>
      </c>
      <c r="J64" s="186">
        <f t="shared" si="2"/>
        <v>5153.7309860509995</v>
      </c>
      <c r="K64" s="193">
        <f t="shared" si="13"/>
        <v>5043.2890860909247</v>
      </c>
      <c r="L64" s="192">
        <f t="shared" si="21"/>
        <v>110.44189996007481</v>
      </c>
      <c r="M64" s="189">
        <f t="shared" si="7"/>
        <v>9.0600214322794379</v>
      </c>
      <c r="N64" s="190">
        <f t="shared" si="8"/>
        <v>119.50192139235425</v>
      </c>
      <c r="O64" s="189">
        <f t="shared" si="9"/>
        <v>0</v>
      </c>
      <c r="P64" s="189">
        <f t="shared" si="10"/>
        <v>0</v>
      </c>
      <c r="Q64" s="189">
        <v>0</v>
      </c>
      <c r="R64" s="190">
        <f t="shared" si="11"/>
        <v>119.50192139235425</v>
      </c>
    </row>
    <row r="65" spans="1:18" x14ac:dyDescent="0.25">
      <c r="A65" s="111">
        <v>10</v>
      </c>
      <c r="B65" s="182">
        <f t="shared" si="4"/>
        <v>45200</v>
      </c>
      <c r="C65" s="202">
        <f t="shared" si="20"/>
        <v>45233</v>
      </c>
      <c r="D65" s="202">
        <f t="shared" si="20"/>
        <v>45254</v>
      </c>
      <c r="E65" s="52" t="s">
        <v>14</v>
      </c>
      <c r="F65" s="147">
        <v>9</v>
      </c>
      <c r="G65" s="184">
        <v>694</v>
      </c>
      <c r="H65" s="185">
        <f t="shared" si="5"/>
        <v>5.5726951227524033</v>
      </c>
      <c r="I65" s="185">
        <f t="shared" si="22"/>
        <v>5.6947303713270712</v>
      </c>
      <c r="J65" s="186">
        <f t="shared" si="2"/>
        <v>3952.1428777009874</v>
      </c>
      <c r="K65" s="193">
        <f t="shared" si="13"/>
        <v>3867.4504151901679</v>
      </c>
      <c r="L65" s="192">
        <f t="shared" si="21"/>
        <v>84.692462510819496</v>
      </c>
      <c r="M65" s="189">
        <f t="shared" si="7"/>
        <v>6.9476849436485413</v>
      </c>
      <c r="N65" s="190">
        <f t="shared" si="8"/>
        <v>91.640147454468035</v>
      </c>
      <c r="O65" s="189">
        <f t="shared" si="9"/>
        <v>0</v>
      </c>
      <c r="P65" s="189">
        <f t="shared" si="10"/>
        <v>0</v>
      </c>
      <c r="Q65" s="189">
        <v>0</v>
      </c>
      <c r="R65" s="190">
        <f t="shared" si="11"/>
        <v>91.640147454468035</v>
      </c>
    </row>
    <row r="66" spans="1:18" x14ac:dyDescent="0.25">
      <c r="A66" s="147">
        <v>11</v>
      </c>
      <c r="B66" s="182">
        <f t="shared" si="4"/>
        <v>45231</v>
      </c>
      <c r="C66" s="202">
        <f t="shared" si="20"/>
        <v>45266</v>
      </c>
      <c r="D66" s="202">
        <f t="shared" si="20"/>
        <v>45285</v>
      </c>
      <c r="E66" s="52" t="s">
        <v>14</v>
      </c>
      <c r="F66" s="147">
        <v>9</v>
      </c>
      <c r="G66" s="184">
        <v>736</v>
      </c>
      <c r="H66" s="185">
        <f t="shared" si="5"/>
        <v>5.5726951227524033</v>
      </c>
      <c r="I66" s="185">
        <f t="shared" si="22"/>
        <v>5.6947303713270712</v>
      </c>
      <c r="J66" s="186">
        <f t="shared" si="2"/>
        <v>4191.3215532967242</v>
      </c>
      <c r="K66" s="193">
        <f t="shared" si="13"/>
        <v>4101.5036103457687</v>
      </c>
      <c r="L66" s="192">
        <f t="shared" si="21"/>
        <v>89.817942950955512</v>
      </c>
      <c r="M66" s="189">
        <f t="shared" si="7"/>
        <v>7.368150026693554</v>
      </c>
      <c r="N66" s="190">
        <f t="shared" si="8"/>
        <v>97.186092977649068</v>
      </c>
      <c r="O66" s="189">
        <f t="shared" si="9"/>
        <v>0</v>
      </c>
      <c r="P66" s="189">
        <f t="shared" si="10"/>
        <v>0</v>
      </c>
      <c r="Q66" s="189">
        <v>0</v>
      </c>
      <c r="R66" s="190">
        <f t="shared" si="11"/>
        <v>97.186092977649068</v>
      </c>
    </row>
    <row r="67" spans="1:18" s="206" customFormat="1" x14ac:dyDescent="0.25">
      <c r="A67" s="147">
        <v>12</v>
      </c>
      <c r="B67" s="204">
        <f t="shared" si="4"/>
        <v>45261</v>
      </c>
      <c r="C67" s="202">
        <f t="shared" si="20"/>
        <v>45294</v>
      </c>
      <c r="D67" s="202">
        <f t="shared" si="20"/>
        <v>45315</v>
      </c>
      <c r="E67" s="205" t="s">
        <v>14</v>
      </c>
      <c r="F67" s="158">
        <v>9</v>
      </c>
      <c r="G67" s="184">
        <v>713</v>
      </c>
      <c r="H67" s="194">
        <f t="shared" si="5"/>
        <v>5.5726951227524033</v>
      </c>
      <c r="I67" s="194">
        <f t="shared" si="22"/>
        <v>5.6947303713270712</v>
      </c>
      <c r="J67" s="195">
        <f t="shared" si="2"/>
        <v>4060.3427547562019</v>
      </c>
      <c r="K67" s="196">
        <f t="shared" si="13"/>
        <v>3973.3316225224635</v>
      </c>
      <c r="L67" s="197">
        <f t="shared" si="21"/>
        <v>87.011132233738408</v>
      </c>
      <c r="M67" s="189">
        <f t="shared" si="7"/>
        <v>7.1378953383593799</v>
      </c>
      <c r="N67" s="190">
        <f t="shared" si="8"/>
        <v>94.149027572097793</v>
      </c>
      <c r="O67" s="189">
        <f t="shared" si="9"/>
        <v>0</v>
      </c>
      <c r="P67" s="189">
        <f t="shared" si="10"/>
        <v>0</v>
      </c>
      <c r="Q67" s="189">
        <v>0</v>
      </c>
      <c r="R67" s="190">
        <f t="shared" si="11"/>
        <v>94.149027572097793</v>
      </c>
    </row>
    <row r="68" spans="1:18" x14ac:dyDescent="0.25">
      <c r="A68" s="111">
        <v>1</v>
      </c>
      <c r="B68" s="182">
        <f t="shared" si="4"/>
        <v>44927</v>
      </c>
      <c r="C68" s="199">
        <f t="shared" ref="C68:D79" si="23">+C56</f>
        <v>44960</v>
      </c>
      <c r="D68" s="199">
        <f t="shared" si="23"/>
        <v>44981</v>
      </c>
      <c r="E68" s="183" t="s">
        <v>86</v>
      </c>
      <c r="F68" s="111">
        <v>9</v>
      </c>
      <c r="G68" s="184">
        <v>44</v>
      </c>
      <c r="H68" s="185">
        <f t="shared" si="5"/>
        <v>5.5726951227524033</v>
      </c>
      <c r="I68" s="185">
        <f t="shared" si="22"/>
        <v>5.6947303713270712</v>
      </c>
      <c r="J68" s="186">
        <f t="shared" si="2"/>
        <v>250.56813633839113</v>
      </c>
      <c r="K68" s="187">
        <f t="shared" si="13"/>
        <v>245.19858540110573</v>
      </c>
      <c r="L68" s="188">
        <f t="shared" si="21"/>
        <v>5.3695509372853962</v>
      </c>
      <c r="M68" s="189">
        <f t="shared" si="7"/>
        <v>0.44048722985667987</v>
      </c>
      <c r="N68" s="190">
        <f t="shared" si="8"/>
        <v>5.8100381671420758</v>
      </c>
      <c r="O68" s="189">
        <f t="shared" si="9"/>
        <v>0</v>
      </c>
      <c r="P68" s="189">
        <f t="shared" si="10"/>
        <v>0</v>
      </c>
      <c r="Q68" s="189">
        <v>0</v>
      </c>
      <c r="R68" s="190">
        <f t="shared" si="11"/>
        <v>5.8100381671420758</v>
      </c>
    </row>
    <row r="69" spans="1:18" x14ac:dyDescent="0.25">
      <c r="A69" s="147">
        <v>2</v>
      </c>
      <c r="B69" s="182">
        <f t="shared" si="4"/>
        <v>44958</v>
      </c>
      <c r="C69" s="202">
        <f t="shared" si="23"/>
        <v>44988</v>
      </c>
      <c r="D69" s="202">
        <f t="shared" si="23"/>
        <v>45009</v>
      </c>
      <c r="E69" s="191" t="s">
        <v>86</v>
      </c>
      <c r="F69" s="147">
        <v>9</v>
      </c>
      <c r="G69" s="184">
        <v>42</v>
      </c>
      <c r="H69" s="185">
        <f t="shared" si="5"/>
        <v>5.5726951227524033</v>
      </c>
      <c r="I69" s="185">
        <f t="shared" si="22"/>
        <v>5.6947303713270712</v>
      </c>
      <c r="J69" s="186">
        <f t="shared" si="2"/>
        <v>239.17867559573699</v>
      </c>
      <c r="K69" s="187">
        <f t="shared" si="13"/>
        <v>234.05319515560095</v>
      </c>
      <c r="L69" s="188">
        <f t="shared" si="21"/>
        <v>5.1254804401360445</v>
      </c>
      <c r="M69" s="189">
        <f t="shared" si="7"/>
        <v>0.42046508304501257</v>
      </c>
      <c r="N69" s="190">
        <f t="shared" si="8"/>
        <v>5.5459455231810573</v>
      </c>
      <c r="O69" s="189">
        <f t="shared" si="9"/>
        <v>0</v>
      </c>
      <c r="P69" s="189">
        <f t="shared" si="10"/>
        <v>0</v>
      </c>
      <c r="Q69" s="189">
        <v>0</v>
      </c>
      <c r="R69" s="190">
        <f t="shared" si="11"/>
        <v>5.5459455231810573</v>
      </c>
    </row>
    <row r="70" spans="1:18" x14ac:dyDescent="0.25">
      <c r="A70" s="147">
        <v>3</v>
      </c>
      <c r="B70" s="182">
        <f t="shared" si="4"/>
        <v>44986</v>
      </c>
      <c r="C70" s="202">
        <f t="shared" si="23"/>
        <v>45021</v>
      </c>
      <c r="D70" s="202">
        <f t="shared" si="23"/>
        <v>45040</v>
      </c>
      <c r="E70" s="191" t="s">
        <v>86</v>
      </c>
      <c r="F70" s="147">
        <v>9</v>
      </c>
      <c r="G70" s="184">
        <v>37</v>
      </c>
      <c r="H70" s="185">
        <f t="shared" si="5"/>
        <v>5.5726951227524033</v>
      </c>
      <c r="I70" s="185">
        <f t="shared" si="22"/>
        <v>5.6947303713270712</v>
      </c>
      <c r="J70" s="186">
        <f t="shared" si="2"/>
        <v>210.70502373910162</v>
      </c>
      <c r="K70" s="187">
        <f t="shared" si="13"/>
        <v>206.18971954183891</v>
      </c>
      <c r="L70" s="188">
        <f>+J70-K70</f>
        <v>4.5153041972627079</v>
      </c>
      <c r="M70" s="189">
        <f t="shared" si="7"/>
        <v>0.37040971601584438</v>
      </c>
      <c r="N70" s="190">
        <f t="shared" si="8"/>
        <v>4.8857139132785523</v>
      </c>
      <c r="O70" s="189">
        <f t="shared" si="9"/>
        <v>0</v>
      </c>
      <c r="P70" s="189">
        <f t="shared" si="10"/>
        <v>0</v>
      </c>
      <c r="Q70" s="189">
        <v>0</v>
      </c>
      <c r="R70" s="190">
        <f t="shared" si="11"/>
        <v>4.8857139132785523</v>
      </c>
    </row>
    <row r="71" spans="1:18" x14ac:dyDescent="0.25">
      <c r="A71" s="111">
        <v>4</v>
      </c>
      <c r="B71" s="182">
        <f t="shared" si="4"/>
        <v>45017</v>
      </c>
      <c r="C71" s="202">
        <f t="shared" si="23"/>
        <v>45049</v>
      </c>
      <c r="D71" s="202">
        <f t="shared" si="23"/>
        <v>45070</v>
      </c>
      <c r="E71" s="191" t="s">
        <v>86</v>
      </c>
      <c r="F71" s="147">
        <v>9</v>
      </c>
      <c r="G71" s="184">
        <v>27</v>
      </c>
      <c r="H71" s="185">
        <f t="shared" si="5"/>
        <v>5.5726951227524033</v>
      </c>
      <c r="I71" s="185">
        <f t="shared" si="22"/>
        <v>5.6947303713270712</v>
      </c>
      <c r="J71" s="186">
        <f t="shared" si="2"/>
        <v>153.75772002583093</v>
      </c>
      <c r="K71" s="187">
        <f t="shared" si="13"/>
        <v>150.4627683143149</v>
      </c>
      <c r="L71" s="188">
        <f t="shared" ref="L71:L79" si="24">+J71-K71</f>
        <v>3.2949517115160347</v>
      </c>
      <c r="M71" s="189">
        <f t="shared" si="7"/>
        <v>0.27029898195750812</v>
      </c>
      <c r="N71" s="190">
        <f t="shared" si="8"/>
        <v>3.5652506934735428</v>
      </c>
      <c r="O71" s="189">
        <f t="shared" si="9"/>
        <v>0</v>
      </c>
      <c r="P71" s="189">
        <f t="shared" si="10"/>
        <v>0</v>
      </c>
      <c r="Q71" s="189">
        <v>0</v>
      </c>
      <c r="R71" s="190">
        <f t="shared" si="11"/>
        <v>3.5652506934735428</v>
      </c>
    </row>
    <row r="72" spans="1:18" x14ac:dyDescent="0.25">
      <c r="A72" s="147">
        <v>5</v>
      </c>
      <c r="B72" s="182">
        <f t="shared" si="4"/>
        <v>45047</v>
      </c>
      <c r="C72" s="202">
        <f t="shared" si="23"/>
        <v>45082</v>
      </c>
      <c r="D72" s="202">
        <f t="shared" si="23"/>
        <v>45103</v>
      </c>
      <c r="E72" s="191" t="s">
        <v>86</v>
      </c>
      <c r="F72" s="147">
        <v>9</v>
      </c>
      <c r="G72" s="184">
        <v>42</v>
      </c>
      <c r="H72" s="185">
        <f t="shared" si="5"/>
        <v>5.5726951227524033</v>
      </c>
      <c r="I72" s="185">
        <f t="shared" si="22"/>
        <v>5.6947303713270712</v>
      </c>
      <c r="J72" s="186">
        <f t="shared" si="2"/>
        <v>239.17867559573699</v>
      </c>
      <c r="K72" s="187">
        <f t="shared" si="13"/>
        <v>234.05319515560095</v>
      </c>
      <c r="L72" s="188">
        <f t="shared" si="24"/>
        <v>5.1254804401360445</v>
      </c>
      <c r="M72" s="189">
        <f t="shared" si="7"/>
        <v>0.42046508304501257</v>
      </c>
      <c r="N72" s="190">
        <f t="shared" si="8"/>
        <v>5.5459455231810573</v>
      </c>
      <c r="O72" s="189">
        <f t="shared" si="9"/>
        <v>0</v>
      </c>
      <c r="P72" s="189">
        <f t="shared" si="10"/>
        <v>0</v>
      </c>
      <c r="Q72" s="189">
        <v>0</v>
      </c>
      <c r="R72" s="190">
        <f t="shared" si="11"/>
        <v>5.5459455231810573</v>
      </c>
    </row>
    <row r="73" spans="1:18" x14ac:dyDescent="0.25">
      <c r="A73" s="147">
        <v>6</v>
      </c>
      <c r="B73" s="182">
        <f t="shared" si="4"/>
        <v>45078</v>
      </c>
      <c r="C73" s="202">
        <f t="shared" si="23"/>
        <v>45112</v>
      </c>
      <c r="D73" s="202">
        <f t="shared" si="23"/>
        <v>45131</v>
      </c>
      <c r="E73" s="191" t="s">
        <v>86</v>
      </c>
      <c r="F73" s="147">
        <v>9</v>
      </c>
      <c r="G73" s="184">
        <v>56</v>
      </c>
      <c r="H73" s="185">
        <f t="shared" si="5"/>
        <v>5.5726951227524033</v>
      </c>
      <c r="I73" s="185">
        <f t="shared" si="22"/>
        <v>5.6947303713270712</v>
      </c>
      <c r="J73" s="186">
        <f t="shared" si="2"/>
        <v>318.90490079431601</v>
      </c>
      <c r="K73" s="187">
        <f t="shared" si="13"/>
        <v>312.07092687413456</v>
      </c>
      <c r="L73" s="192">
        <f t="shared" si="24"/>
        <v>6.8339739201814496</v>
      </c>
      <c r="M73" s="189">
        <f t="shared" si="7"/>
        <v>0.5606201107266835</v>
      </c>
      <c r="N73" s="190">
        <f t="shared" si="8"/>
        <v>7.3945940309081326</v>
      </c>
      <c r="O73" s="189">
        <f t="shared" si="9"/>
        <v>0</v>
      </c>
      <c r="P73" s="189">
        <f t="shared" si="10"/>
        <v>0</v>
      </c>
      <c r="Q73" s="189">
        <v>0</v>
      </c>
      <c r="R73" s="190">
        <f t="shared" si="11"/>
        <v>7.3945940309081326</v>
      </c>
    </row>
    <row r="74" spans="1:18" x14ac:dyDescent="0.25">
      <c r="A74" s="111">
        <v>7</v>
      </c>
      <c r="B74" s="182">
        <f t="shared" si="4"/>
        <v>45108</v>
      </c>
      <c r="C74" s="202">
        <f t="shared" si="23"/>
        <v>45141</v>
      </c>
      <c r="D74" s="202">
        <f t="shared" si="23"/>
        <v>45162</v>
      </c>
      <c r="E74" s="191" t="s">
        <v>86</v>
      </c>
      <c r="F74" s="147">
        <v>9</v>
      </c>
      <c r="G74" s="184">
        <v>54</v>
      </c>
      <c r="H74" s="185">
        <f t="shared" si="5"/>
        <v>5.5726951227524033</v>
      </c>
      <c r="I74" s="185">
        <f t="shared" si="22"/>
        <v>5.6947303713270712</v>
      </c>
      <c r="J74" s="186">
        <f t="shared" si="2"/>
        <v>307.51544005166187</v>
      </c>
      <c r="K74" s="193">
        <f t="shared" si="13"/>
        <v>300.9255366286298</v>
      </c>
      <c r="L74" s="192">
        <f t="shared" si="24"/>
        <v>6.5899034230320694</v>
      </c>
      <c r="M74" s="189">
        <f t="shared" si="7"/>
        <v>0.54059796391501624</v>
      </c>
      <c r="N74" s="190">
        <f t="shared" si="8"/>
        <v>7.1305013869470857</v>
      </c>
      <c r="O74" s="189">
        <f t="shared" si="9"/>
        <v>0</v>
      </c>
      <c r="P74" s="189">
        <f t="shared" si="10"/>
        <v>0</v>
      </c>
      <c r="Q74" s="189">
        <v>0</v>
      </c>
      <c r="R74" s="190">
        <f t="shared" si="11"/>
        <v>7.1305013869470857</v>
      </c>
    </row>
    <row r="75" spans="1:18" x14ac:dyDescent="0.25">
      <c r="A75" s="147">
        <v>8</v>
      </c>
      <c r="B75" s="182">
        <f t="shared" si="4"/>
        <v>45139</v>
      </c>
      <c r="C75" s="202">
        <f t="shared" si="23"/>
        <v>45174</v>
      </c>
      <c r="D75" s="202">
        <f t="shared" si="23"/>
        <v>45194</v>
      </c>
      <c r="E75" s="191" t="s">
        <v>86</v>
      </c>
      <c r="F75" s="147">
        <v>9</v>
      </c>
      <c r="G75" s="184">
        <v>59</v>
      </c>
      <c r="H75" s="185">
        <f t="shared" si="5"/>
        <v>5.5726951227524033</v>
      </c>
      <c r="I75" s="185">
        <f t="shared" si="22"/>
        <v>5.6947303713270712</v>
      </c>
      <c r="J75" s="186">
        <f t="shared" si="2"/>
        <v>335.98909190829721</v>
      </c>
      <c r="K75" s="193">
        <f t="shared" si="13"/>
        <v>328.78901224239178</v>
      </c>
      <c r="L75" s="192">
        <f t="shared" si="24"/>
        <v>7.2000796659054345</v>
      </c>
      <c r="M75" s="189">
        <f t="shared" si="7"/>
        <v>0.59065333094418437</v>
      </c>
      <c r="N75" s="190">
        <f t="shared" si="8"/>
        <v>7.7907329968496191</v>
      </c>
      <c r="O75" s="189">
        <f t="shared" si="9"/>
        <v>0</v>
      </c>
      <c r="P75" s="189">
        <f t="shared" si="10"/>
        <v>0</v>
      </c>
      <c r="Q75" s="189">
        <v>0</v>
      </c>
      <c r="R75" s="190">
        <f t="shared" si="11"/>
        <v>7.7907329968496191</v>
      </c>
    </row>
    <row r="76" spans="1:18" x14ac:dyDescent="0.25">
      <c r="A76" s="147">
        <v>9</v>
      </c>
      <c r="B76" s="182">
        <f t="shared" si="4"/>
        <v>45170</v>
      </c>
      <c r="C76" s="202">
        <f t="shared" si="23"/>
        <v>45203</v>
      </c>
      <c r="D76" s="202">
        <f t="shared" si="23"/>
        <v>45223</v>
      </c>
      <c r="E76" s="191" t="s">
        <v>86</v>
      </c>
      <c r="F76" s="147">
        <v>9</v>
      </c>
      <c r="G76" s="184">
        <v>54</v>
      </c>
      <c r="H76" s="185">
        <f t="shared" si="5"/>
        <v>5.5726951227524033</v>
      </c>
      <c r="I76" s="185">
        <f t="shared" si="22"/>
        <v>5.6947303713270712</v>
      </c>
      <c r="J76" s="186">
        <f t="shared" si="2"/>
        <v>307.51544005166187</v>
      </c>
      <c r="K76" s="193">
        <f t="shared" si="13"/>
        <v>300.9255366286298</v>
      </c>
      <c r="L76" s="192">
        <f t="shared" si="24"/>
        <v>6.5899034230320694</v>
      </c>
      <c r="M76" s="189">
        <f t="shared" si="7"/>
        <v>0.54059796391501624</v>
      </c>
      <c r="N76" s="190">
        <f t="shared" si="8"/>
        <v>7.1305013869470857</v>
      </c>
      <c r="O76" s="189">
        <f t="shared" si="9"/>
        <v>0</v>
      </c>
      <c r="P76" s="189">
        <f t="shared" si="10"/>
        <v>0</v>
      </c>
      <c r="Q76" s="189">
        <v>0</v>
      </c>
      <c r="R76" s="190">
        <f t="shared" si="11"/>
        <v>7.1305013869470857</v>
      </c>
    </row>
    <row r="77" spans="1:18" x14ac:dyDescent="0.25">
      <c r="A77" s="111">
        <v>10</v>
      </c>
      <c r="B77" s="182">
        <f t="shared" si="4"/>
        <v>45200</v>
      </c>
      <c r="C77" s="202">
        <f t="shared" si="23"/>
        <v>45233</v>
      </c>
      <c r="D77" s="202">
        <f t="shared" si="23"/>
        <v>45254</v>
      </c>
      <c r="E77" s="191" t="s">
        <v>86</v>
      </c>
      <c r="F77" s="147">
        <v>9</v>
      </c>
      <c r="G77" s="184">
        <v>37</v>
      </c>
      <c r="H77" s="185">
        <f t="shared" si="5"/>
        <v>5.5726951227524033</v>
      </c>
      <c r="I77" s="185">
        <f t="shared" si="22"/>
        <v>5.6947303713270712</v>
      </c>
      <c r="J77" s="186">
        <f t="shared" si="2"/>
        <v>210.70502373910162</v>
      </c>
      <c r="K77" s="193">
        <f t="shared" si="13"/>
        <v>206.18971954183891</v>
      </c>
      <c r="L77" s="192">
        <f t="shared" si="24"/>
        <v>4.5153041972627079</v>
      </c>
      <c r="M77" s="189">
        <f t="shared" si="7"/>
        <v>0.37040971601584438</v>
      </c>
      <c r="N77" s="190">
        <f t="shared" si="8"/>
        <v>4.8857139132785523</v>
      </c>
      <c r="O77" s="189">
        <f t="shared" si="9"/>
        <v>0</v>
      </c>
      <c r="P77" s="189">
        <f t="shared" si="10"/>
        <v>0</v>
      </c>
      <c r="Q77" s="189">
        <v>0</v>
      </c>
      <c r="R77" s="190">
        <f t="shared" si="11"/>
        <v>4.8857139132785523</v>
      </c>
    </row>
    <row r="78" spans="1:18" x14ac:dyDescent="0.25">
      <c r="A78" s="147">
        <v>11</v>
      </c>
      <c r="B78" s="182">
        <f t="shared" si="4"/>
        <v>45231</v>
      </c>
      <c r="C78" s="202">
        <f t="shared" si="23"/>
        <v>45266</v>
      </c>
      <c r="D78" s="202">
        <f t="shared" si="23"/>
        <v>45285</v>
      </c>
      <c r="E78" s="191" t="s">
        <v>86</v>
      </c>
      <c r="F78" s="147">
        <v>9</v>
      </c>
      <c r="G78" s="184">
        <v>38</v>
      </c>
      <c r="H78" s="185">
        <f t="shared" si="5"/>
        <v>5.5726951227524033</v>
      </c>
      <c r="I78" s="185">
        <f t="shared" si="22"/>
        <v>5.6947303713270712</v>
      </c>
      <c r="J78" s="186">
        <f t="shared" si="2"/>
        <v>216.39975411042872</v>
      </c>
      <c r="K78" s="193">
        <f>+$G78*H78</f>
        <v>211.76241466459132</v>
      </c>
      <c r="L78" s="192">
        <f t="shared" si="24"/>
        <v>4.637339445837398</v>
      </c>
      <c r="M78" s="189">
        <f t="shared" si="7"/>
        <v>0.38042078942167806</v>
      </c>
      <c r="N78" s="190">
        <f t="shared" si="8"/>
        <v>5.0177602352590762</v>
      </c>
      <c r="O78" s="189">
        <f t="shared" si="9"/>
        <v>0</v>
      </c>
      <c r="P78" s="189">
        <f t="shared" si="10"/>
        <v>0</v>
      </c>
      <c r="Q78" s="189">
        <v>0</v>
      </c>
      <c r="R78" s="190">
        <f t="shared" si="11"/>
        <v>5.0177602352590762</v>
      </c>
    </row>
    <row r="79" spans="1:18" s="206" customFormat="1" x14ac:dyDescent="0.25">
      <c r="A79" s="147">
        <v>12</v>
      </c>
      <c r="B79" s="204">
        <f t="shared" si="4"/>
        <v>45261</v>
      </c>
      <c r="C79" s="207">
        <f t="shared" si="23"/>
        <v>45294</v>
      </c>
      <c r="D79" s="207">
        <f t="shared" si="23"/>
        <v>45315</v>
      </c>
      <c r="E79" s="208" t="s">
        <v>86</v>
      </c>
      <c r="F79" s="158">
        <v>9</v>
      </c>
      <c r="G79" s="184">
        <v>35</v>
      </c>
      <c r="H79" s="194">
        <f t="shared" si="5"/>
        <v>5.5726951227524033</v>
      </c>
      <c r="I79" s="194">
        <f t="shared" si="22"/>
        <v>5.6947303713270712</v>
      </c>
      <c r="J79" s="195">
        <f t="shared" si="2"/>
        <v>199.31556299644748</v>
      </c>
      <c r="K79" s="196">
        <f>+$G79*H79</f>
        <v>195.04432929633413</v>
      </c>
      <c r="L79" s="197">
        <f t="shared" si="24"/>
        <v>4.2712337001133562</v>
      </c>
      <c r="M79" s="189">
        <f t="shared" si="7"/>
        <v>0.35038756920417713</v>
      </c>
      <c r="N79" s="190">
        <f t="shared" si="8"/>
        <v>4.6216212693175329</v>
      </c>
      <c r="O79" s="189">
        <f t="shared" si="9"/>
        <v>0</v>
      </c>
      <c r="P79" s="189">
        <f t="shared" si="10"/>
        <v>0</v>
      </c>
      <c r="Q79" s="189">
        <v>0</v>
      </c>
      <c r="R79" s="190">
        <f t="shared" si="11"/>
        <v>4.6216212693175329</v>
      </c>
    </row>
    <row r="80" spans="1:18" s="50" customFormat="1" ht="12.75" customHeight="1" x14ac:dyDescent="0.25">
      <c r="A80" s="111">
        <v>1</v>
      </c>
      <c r="B80" s="182">
        <f t="shared" si="4"/>
        <v>44927</v>
      </c>
      <c r="C80" s="199">
        <f t="shared" ref="C80:D91" si="25">+C56</f>
        <v>44960</v>
      </c>
      <c r="D80" s="199">
        <f t="shared" si="25"/>
        <v>44981</v>
      </c>
      <c r="E80" s="183" t="s">
        <v>9</v>
      </c>
      <c r="F80" s="111">
        <v>9</v>
      </c>
      <c r="G80" s="184">
        <v>53</v>
      </c>
      <c r="H80" s="185">
        <f t="shared" si="5"/>
        <v>5.5726951227524033</v>
      </c>
      <c r="I80" s="185">
        <f t="shared" si="22"/>
        <v>5.6947303713270712</v>
      </c>
      <c r="J80" s="186">
        <f t="shared" si="2"/>
        <v>301.82070968033474</v>
      </c>
      <c r="K80" s="187">
        <f t="shared" si="13"/>
        <v>295.35284150587739</v>
      </c>
      <c r="L80" s="188">
        <f t="shared" si="21"/>
        <v>6.467868174457351</v>
      </c>
      <c r="M80" s="189">
        <f t="shared" si="7"/>
        <v>0.53058689050918262</v>
      </c>
      <c r="N80" s="190">
        <f t="shared" si="8"/>
        <v>6.9984550649665334</v>
      </c>
      <c r="O80" s="189">
        <f t="shared" si="9"/>
        <v>0</v>
      </c>
      <c r="P80" s="189">
        <f t="shared" si="10"/>
        <v>0</v>
      </c>
      <c r="Q80" s="189">
        <v>0</v>
      </c>
      <c r="R80" s="190">
        <f t="shared" si="11"/>
        <v>6.9984550649665334</v>
      </c>
    </row>
    <row r="81" spans="1:18" x14ac:dyDescent="0.25">
      <c r="A81" s="147">
        <v>2</v>
      </c>
      <c r="B81" s="182">
        <f t="shared" si="4"/>
        <v>44958</v>
      </c>
      <c r="C81" s="202">
        <f t="shared" si="25"/>
        <v>44988</v>
      </c>
      <c r="D81" s="202">
        <f t="shared" si="25"/>
        <v>45009</v>
      </c>
      <c r="E81" s="191" t="s">
        <v>9</v>
      </c>
      <c r="F81" s="147">
        <v>9</v>
      </c>
      <c r="G81" s="184">
        <v>55</v>
      </c>
      <c r="H81" s="185">
        <f t="shared" si="5"/>
        <v>5.5726951227524033</v>
      </c>
      <c r="I81" s="185">
        <f t="shared" si="22"/>
        <v>5.6947303713270712</v>
      </c>
      <c r="J81" s="186">
        <f t="shared" si="2"/>
        <v>313.21017042298894</v>
      </c>
      <c r="K81" s="187">
        <f t="shared" si="13"/>
        <v>306.49823175138221</v>
      </c>
      <c r="L81" s="188">
        <f t="shared" si="21"/>
        <v>6.7119386716067311</v>
      </c>
      <c r="M81" s="189">
        <f t="shared" si="7"/>
        <v>0.55060903732084987</v>
      </c>
      <c r="N81" s="190">
        <f t="shared" si="8"/>
        <v>7.2625477089275812</v>
      </c>
      <c r="O81" s="189">
        <f t="shared" si="9"/>
        <v>0</v>
      </c>
      <c r="P81" s="189">
        <f t="shared" si="10"/>
        <v>0</v>
      </c>
      <c r="Q81" s="189">
        <v>0</v>
      </c>
      <c r="R81" s="190">
        <f t="shared" si="11"/>
        <v>7.2625477089275812</v>
      </c>
    </row>
    <row r="82" spans="1:18" x14ac:dyDescent="0.25">
      <c r="A82" s="147">
        <v>3</v>
      </c>
      <c r="B82" s="182">
        <f t="shared" si="4"/>
        <v>44986</v>
      </c>
      <c r="C82" s="202">
        <f t="shared" si="25"/>
        <v>45021</v>
      </c>
      <c r="D82" s="202">
        <f t="shared" si="25"/>
        <v>45040</v>
      </c>
      <c r="E82" s="191" t="s">
        <v>9</v>
      </c>
      <c r="F82" s="147">
        <v>9</v>
      </c>
      <c r="G82" s="184">
        <v>46</v>
      </c>
      <c r="H82" s="185">
        <f t="shared" si="5"/>
        <v>5.5726951227524033</v>
      </c>
      <c r="I82" s="185">
        <f t="shared" si="22"/>
        <v>5.6947303713270712</v>
      </c>
      <c r="J82" s="186">
        <f t="shared" si="2"/>
        <v>261.95759708104526</v>
      </c>
      <c r="K82" s="187">
        <f t="shared" si="13"/>
        <v>256.34397564661055</v>
      </c>
      <c r="L82" s="188">
        <f>+J82-K82</f>
        <v>5.6136214344347195</v>
      </c>
      <c r="M82" s="189">
        <f t="shared" si="7"/>
        <v>0.46050937666834713</v>
      </c>
      <c r="N82" s="190">
        <f t="shared" si="8"/>
        <v>6.0741308111030667</v>
      </c>
      <c r="O82" s="189">
        <f t="shared" si="9"/>
        <v>0</v>
      </c>
      <c r="P82" s="189">
        <f t="shared" si="10"/>
        <v>0</v>
      </c>
      <c r="Q82" s="189">
        <v>0</v>
      </c>
      <c r="R82" s="190">
        <f t="shared" si="11"/>
        <v>6.0741308111030667</v>
      </c>
    </row>
    <row r="83" spans="1:18" ht="12" customHeight="1" x14ac:dyDescent="0.25">
      <c r="A83" s="111">
        <v>4</v>
      </c>
      <c r="B83" s="182">
        <f t="shared" si="4"/>
        <v>45017</v>
      </c>
      <c r="C83" s="202">
        <f t="shared" si="25"/>
        <v>45049</v>
      </c>
      <c r="D83" s="202">
        <f t="shared" si="25"/>
        <v>45070</v>
      </c>
      <c r="E83" s="52" t="s">
        <v>9</v>
      </c>
      <c r="F83" s="147">
        <v>9</v>
      </c>
      <c r="G83" s="184">
        <v>33</v>
      </c>
      <c r="H83" s="185">
        <f t="shared" si="5"/>
        <v>5.5726951227524033</v>
      </c>
      <c r="I83" s="185">
        <f t="shared" si="22"/>
        <v>5.6947303713270712</v>
      </c>
      <c r="J83" s="186">
        <f t="shared" si="2"/>
        <v>187.92610225379335</v>
      </c>
      <c r="K83" s="187">
        <f t="shared" si="13"/>
        <v>183.89893905082931</v>
      </c>
      <c r="L83" s="188">
        <f t="shared" ref="L83:L93" si="26">+J83-K83</f>
        <v>4.027163202964033</v>
      </c>
      <c r="M83" s="189">
        <f t="shared" si="7"/>
        <v>0.33036542239250988</v>
      </c>
      <c r="N83" s="190">
        <f t="shared" si="8"/>
        <v>4.3575286253565428</v>
      </c>
      <c r="O83" s="189">
        <f t="shared" si="9"/>
        <v>0</v>
      </c>
      <c r="P83" s="189">
        <f t="shared" si="10"/>
        <v>0</v>
      </c>
      <c r="Q83" s="189">
        <v>0</v>
      </c>
      <c r="R83" s="190">
        <f t="shared" si="11"/>
        <v>4.3575286253565428</v>
      </c>
    </row>
    <row r="84" spans="1:18" ht="12" customHeight="1" x14ac:dyDescent="0.25">
      <c r="A84" s="147">
        <v>5</v>
      </c>
      <c r="B84" s="182">
        <f t="shared" si="4"/>
        <v>45047</v>
      </c>
      <c r="C84" s="202">
        <f t="shared" si="25"/>
        <v>45082</v>
      </c>
      <c r="D84" s="202">
        <f t="shared" si="25"/>
        <v>45103</v>
      </c>
      <c r="E84" s="52" t="s">
        <v>9</v>
      </c>
      <c r="F84" s="147">
        <v>9</v>
      </c>
      <c r="G84" s="184">
        <v>44</v>
      </c>
      <c r="H84" s="185">
        <f t="shared" si="5"/>
        <v>5.5726951227524033</v>
      </c>
      <c r="I84" s="185">
        <f t="shared" si="22"/>
        <v>5.6947303713270712</v>
      </c>
      <c r="J84" s="186">
        <f t="shared" si="2"/>
        <v>250.56813633839113</v>
      </c>
      <c r="K84" s="187">
        <f t="shared" si="13"/>
        <v>245.19858540110573</v>
      </c>
      <c r="L84" s="188">
        <f t="shared" si="26"/>
        <v>5.3695509372853962</v>
      </c>
      <c r="M84" s="189">
        <f t="shared" si="7"/>
        <v>0.44048722985667987</v>
      </c>
      <c r="N84" s="190">
        <f t="shared" si="8"/>
        <v>5.8100381671420758</v>
      </c>
      <c r="O84" s="189">
        <f t="shared" si="9"/>
        <v>0</v>
      </c>
      <c r="P84" s="189">
        <f t="shared" si="10"/>
        <v>0</v>
      </c>
      <c r="Q84" s="189">
        <v>0</v>
      </c>
      <c r="R84" s="190">
        <f t="shared" si="11"/>
        <v>5.8100381671420758</v>
      </c>
    </row>
    <row r="85" spans="1:18" x14ac:dyDescent="0.25">
      <c r="A85" s="147">
        <v>6</v>
      </c>
      <c r="B85" s="182">
        <f t="shared" si="4"/>
        <v>45078</v>
      </c>
      <c r="C85" s="202">
        <f t="shared" si="25"/>
        <v>45112</v>
      </c>
      <c r="D85" s="202">
        <f t="shared" si="25"/>
        <v>45131</v>
      </c>
      <c r="E85" s="52" t="s">
        <v>9</v>
      </c>
      <c r="F85" s="147">
        <v>9</v>
      </c>
      <c r="G85" s="184">
        <v>55</v>
      </c>
      <c r="H85" s="185">
        <f t="shared" ref="H85:H148" si="27">+$K$3</f>
        <v>5.5726951227524033</v>
      </c>
      <c r="I85" s="185">
        <f t="shared" si="22"/>
        <v>5.6947303713270712</v>
      </c>
      <c r="J85" s="186">
        <f t="shared" si="2"/>
        <v>313.21017042298894</v>
      </c>
      <c r="K85" s="187">
        <f t="shared" si="13"/>
        <v>306.49823175138221</v>
      </c>
      <c r="L85" s="192">
        <f t="shared" si="26"/>
        <v>6.7119386716067311</v>
      </c>
      <c r="M85" s="189">
        <f t="shared" ref="M85:M148" si="28">G85/$G$212*$M$14</f>
        <v>0.55060903732084987</v>
      </c>
      <c r="N85" s="190">
        <f t="shared" ref="N85:N148" si="29">SUM(L85:M85)</f>
        <v>7.2625477089275812</v>
      </c>
      <c r="O85" s="189">
        <f t="shared" ref="O85:O148" si="30">+$P$3</f>
        <v>0</v>
      </c>
      <c r="P85" s="189">
        <f t="shared" ref="P85:P148" si="31">+G85*O85</f>
        <v>0</v>
      </c>
      <c r="Q85" s="189">
        <v>0</v>
      </c>
      <c r="R85" s="190">
        <f t="shared" ref="R85:R148" si="32">+N85-Q85</f>
        <v>7.2625477089275812</v>
      </c>
    </row>
    <row r="86" spans="1:18" x14ac:dyDescent="0.25">
      <c r="A86" s="111">
        <v>7</v>
      </c>
      <c r="B86" s="182">
        <f t="shared" si="4"/>
        <v>45108</v>
      </c>
      <c r="C86" s="202">
        <f t="shared" si="25"/>
        <v>45141</v>
      </c>
      <c r="D86" s="202">
        <f t="shared" si="25"/>
        <v>45162</v>
      </c>
      <c r="E86" s="52" t="s">
        <v>9</v>
      </c>
      <c r="F86" s="147">
        <v>9</v>
      </c>
      <c r="G86" s="184">
        <v>57</v>
      </c>
      <c r="H86" s="185">
        <f t="shared" si="27"/>
        <v>5.5726951227524033</v>
      </c>
      <c r="I86" s="185">
        <f t="shared" si="22"/>
        <v>5.6947303713270712</v>
      </c>
      <c r="J86" s="186">
        <f t="shared" si="2"/>
        <v>324.59963116564307</v>
      </c>
      <c r="K86" s="193">
        <f t="shared" si="13"/>
        <v>317.64362199688696</v>
      </c>
      <c r="L86" s="192">
        <f t="shared" si="26"/>
        <v>6.9560091687561112</v>
      </c>
      <c r="M86" s="189">
        <f t="shared" si="28"/>
        <v>0.57063118413251712</v>
      </c>
      <c r="N86" s="190">
        <f t="shared" si="29"/>
        <v>7.5266403528886281</v>
      </c>
      <c r="O86" s="189">
        <f t="shared" si="30"/>
        <v>0</v>
      </c>
      <c r="P86" s="189">
        <f t="shared" si="31"/>
        <v>0</v>
      </c>
      <c r="Q86" s="189">
        <v>0</v>
      </c>
      <c r="R86" s="190">
        <f t="shared" si="32"/>
        <v>7.5266403528886281</v>
      </c>
    </row>
    <row r="87" spans="1:18" x14ac:dyDescent="0.25">
      <c r="A87" s="147">
        <v>8</v>
      </c>
      <c r="B87" s="182">
        <f t="shared" si="4"/>
        <v>45139</v>
      </c>
      <c r="C87" s="202">
        <f t="shared" si="25"/>
        <v>45174</v>
      </c>
      <c r="D87" s="202">
        <f t="shared" si="25"/>
        <v>45194</v>
      </c>
      <c r="E87" s="52" t="s">
        <v>9</v>
      </c>
      <c r="F87" s="147">
        <v>9</v>
      </c>
      <c r="G87" s="184">
        <v>56</v>
      </c>
      <c r="H87" s="185">
        <f t="shared" si="27"/>
        <v>5.5726951227524033</v>
      </c>
      <c r="I87" s="185">
        <f t="shared" si="22"/>
        <v>5.6947303713270712</v>
      </c>
      <c r="J87" s="186">
        <f t="shared" si="2"/>
        <v>318.90490079431601</v>
      </c>
      <c r="K87" s="193">
        <f t="shared" si="13"/>
        <v>312.07092687413456</v>
      </c>
      <c r="L87" s="192">
        <f t="shared" si="26"/>
        <v>6.8339739201814496</v>
      </c>
      <c r="M87" s="189">
        <f t="shared" si="28"/>
        <v>0.5606201107266835</v>
      </c>
      <c r="N87" s="190">
        <f t="shared" si="29"/>
        <v>7.3945940309081326</v>
      </c>
      <c r="O87" s="189">
        <f t="shared" si="30"/>
        <v>0</v>
      </c>
      <c r="P87" s="189">
        <f t="shared" si="31"/>
        <v>0</v>
      </c>
      <c r="Q87" s="189">
        <v>0</v>
      </c>
      <c r="R87" s="190">
        <f t="shared" si="32"/>
        <v>7.3945940309081326</v>
      </c>
    </row>
    <row r="88" spans="1:18" x14ac:dyDescent="0.25">
      <c r="A88" s="147">
        <v>9</v>
      </c>
      <c r="B88" s="182">
        <f t="shared" si="4"/>
        <v>45170</v>
      </c>
      <c r="C88" s="202">
        <f t="shared" si="25"/>
        <v>45203</v>
      </c>
      <c r="D88" s="202">
        <f t="shared" si="25"/>
        <v>45223</v>
      </c>
      <c r="E88" s="52" t="s">
        <v>9</v>
      </c>
      <c r="F88" s="147">
        <v>9</v>
      </c>
      <c r="G88" s="184">
        <v>60</v>
      </c>
      <c r="H88" s="185">
        <f t="shared" si="27"/>
        <v>5.5726951227524033</v>
      </c>
      <c r="I88" s="185">
        <f t="shared" si="22"/>
        <v>5.6947303713270712</v>
      </c>
      <c r="J88" s="186">
        <f t="shared" si="2"/>
        <v>341.68382227962428</v>
      </c>
      <c r="K88" s="193">
        <f t="shared" si="13"/>
        <v>334.36170736514418</v>
      </c>
      <c r="L88" s="192">
        <f t="shared" si="26"/>
        <v>7.3221149144800961</v>
      </c>
      <c r="M88" s="189">
        <f t="shared" si="28"/>
        <v>0.600664404350018</v>
      </c>
      <c r="N88" s="190">
        <f t="shared" si="29"/>
        <v>7.9227793188301145</v>
      </c>
      <c r="O88" s="189">
        <f t="shared" si="30"/>
        <v>0</v>
      </c>
      <c r="P88" s="189">
        <f t="shared" si="31"/>
        <v>0</v>
      </c>
      <c r="Q88" s="189">
        <v>0</v>
      </c>
      <c r="R88" s="190">
        <f t="shared" si="32"/>
        <v>7.9227793188301145</v>
      </c>
    </row>
    <row r="89" spans="1:18" x14ac:dyDescent="0.25">
      <c r="A89" s="111">
        <v>10</v>
      </c>
      <c r="B89" s="182">
        <f t="shared" si="4"/>
        <v>45200</v>
      </c>
      <c r="C89" s="202">
        <f t="shared" si="25"/>
        <v>45233</v>
      </c>
      <c r="D89" s="202">
        <f t="shared" si="25"/>
        <v>45254</v>
      </c>
      <c r="E89" s="52" t="s">
        <v>9</v>
      </c>
      <c r="F89" s="147">
        <v>9</v>
      </c>
      <c r="G89" s="184">
        <v>48</v>
      </c>
      <c r="H89" s="185">
        <f t="shared" si="27"/>
        <v>5.5726951227524033</v>
      </c>
      <c r="I89" s="185">
        <f t="shared" si="22"/>
        <v>5.6947303713270712</v>
      </c>
      <c r="J89" s="186">
        <f t="shared" si="2"/>
        <v>273.3470578236994</v>
      </c>
      <c r="K89" s="193">
        <f t="shared" si="13"/>
        <v>267.48936589211536</v>
      </c>
      <c r="L89" s="192">
        <f t="shared" si="26"/>
        <v>5.8576919315840428</v>
      </c>
      <c r="M89" s="189">
        <f t="shared" si="28"/>
        <v>0.48053152348001438</v>
      </c>
      <c r="N89" s="190">
        <f t="shared" si="29"/>
        <v>6.3382234550640568</v>
      </c>
      <c r="O89" s="189">
        <f t="shared" si="30"/>
        <v>0</v>
      </c>
      <c r="P89" s="189">
        <f t="shared" si="31"/>
        <v>0</v>
      </c>
      <c r="Q89" s="189">
        <v>0</v>
      </c>
      <c r="R89" s="190">
        <f t="shared" si="32"/>
        <v>6.3382234550640568</v>
      </c>
    </row>
    <row r="90" spans="1:18" x14ac:dyDescent="0.25">
      <c r="A90" s="147">
        <v>11</v>
      </c>
      <c r="B90" s="182">
        <f t="shared" si="4"/>
        <v>45231</v>
      </c>
      <c r="C90" s="202">
        <f t="shared" si="25"/>
        <v>45266</v>
      </c>
      <c r="D90" s="202">
        <f t="shared" si="25"/>
        <v>45285</v>
      </c>
      <c r="E90" s="52" t="s">
        <v>9</v>
      </c>
      <c r="F90" s="147">
        <v>9</v>
      </c>
      <c r="G90" s="184">
        <v>54</v>
      </c>
      <c r="H90" s="185">
        <f t="shared" si="27"/>
        <v>5.5726951227524033</v>
      </c>
      <c r="I90" s="185">
        <f t="shared" si="22"/>
        <v>5.6947303713270712</v>
      </c>
      <c r="J90" s="186">
        <f t="shared" si="2"/>
        <v>307.51544005166187</v>
      </c>
      <c r="K90" s="193">
        <f t="shared" si="13"/>
        <v>300.9255366286298</v>
      </c>
      <c r="L90" s="192">
        <f t="shared" si="26"/>
        <v>6.5899034230320694</v>
      </c>
      <c r="M90" s="189">
        <f t="shared" si="28"/>
        <v>0.54059796391501624</v>
      </c>
      <c r="N90" s="190">
        <f t="shared" si="29"/>
        <v>7.1305013869470857</v>
      </c>
      <c r="O90" s="189">
        <f t="shared" si="30"/>
        <v>0</v>
      </c>
      <c r="P90" s="189">
        <f t="shared" si="31"/>
        <v>0</v>
      </c>
      <c r="Q90" s="189">
        <v>0</v>
      </c>
      <c r="R90" s="190">
        <f t="shared" si="32"/>
        <v>7.1305013869470857</v>
      </c>
    </row>
    <row r="91" spans="1:18" s="206" customFormat="1" x14ac:dyDescent="0.25">
      <c r="A91" s="147">
        <v>12</v>
      </c>
      <c r="B91" s="204">
        <f t="shared" si="4"/>
        <v>45261</v>
      </c>
      <c r="C91" s="202">
        <f t="shared" si="25"/>
        <v>45294</v>
      </c>
      <c r="D91" s="202">
        <f t="shared" si="25"/>
        <v>45315</v>
      </c>
      <c r="E91" s="205" t="s">
        <v>9</v>
      </c>
      <c r="F91" s="158">
        <v>9</v>
      </c>
      <c r="G91" s="184">
        <v>55</v>
      </c>
      <c r="H91" s="194">
        <f t="shared" si="27"/>
        <v>5.5726951227524033</v>
      </c>
      <c r="I91" s="194">
        <f t="shared" si="22"/>
        <v>5.6947303713270712</v>
      </c>
      <c r="J91" s="195">
        <f t="shared" si="2"/>
        <v>313.21017042298894</v>
      </c>
      <c r="K91" s="196">
        <f t="shared" si="13"/>
        <v>306.49823175138221</v>
      </c>
      <c r="L91" s="197">
        <f t="shared" si="26"/>
        <v>6.7119386716067311</v>
      </c>
      <c r="M91" s="189">
        <f t="shared" si="28"/>
        <v>0.55060903732084987</v>
      </c>
      <c r="N91" s="190">
        <f t="shared" si="29"/>
        <v>7.2625477089275812</v>
      </c>
      <c r="O91" s="189">
        <f t="shared" si="30"/>
        <v>0</v>
      </c>
      <c r="P91" s="189">
        <f t="shared" si="31"/>
        <v>0</v>
      </c>
      <c r="Q91" s="189">
        <v>0</v>
      </c>
      <c r="R91" s="190">
        <f t="shared" si="32"/>
        <v>7.2625477089275812</v>
      </c>
    </row>
    <row r="92" spans="1:18" x14ac:dyDescent="0.25">
      <c r="A92" s="111">
        <v>1</v>
      </c>
      <c r="B92" s="182">
        <f t="shared" si="4"/>
        <v>44927</v>
      </c>
      <c r="C92" s="199">
        <f t="shared" ref="C92:D95" si="33">+C80</f>
        <v>44960</v>
      </c>
      <c r="D92" s="199">
        <f t="shared" si="33"/>
        <v>44981</v>
      </c>
      <c r="E92" s="183" t="s">
        <v>8</v>
      </c>
      <c r="F92" s="111">
        <v>9</v>
      </c>
      <c r="G92" s="184">
        <v>84</v>
      </c>
      <c r="H92" s="185">
        <f t="shared" si="27"/>
        <v>5.5726951227524033</v>
      </c>
      <c r="I92" s="185">
        <f t="shared" si="22"/>
        <v>5.6947303713270712</v>
      </c>
      <c r="J92" s="186">
        <f t="shared" si="2"/>
        <v>478.35735119147398</v>
      </c>
      <c r="K92" s="187">
        <f t="shared" si="13"/>
        <v>468.10639031120189</v>
      </c>
      <c r="L92" s="188">
        <f t="shared" si="26"/>
        <v>10.250960880272089</v>
      </c>
      <c r="M92" s="189">
        <f t="shared" si="28"/>
        <v>0.84093016609002513</v>
      </c>
      <c r="N92" s="190">
        <f t="shared" si="29"/>
        <v>11.091891046362115</v>
      </c>
      <c r="O92" s="189">
        <f t="shared" si="30"/>
        <v>0</v>
      </c>
      <c r="P92" s="189">
        <f t="shared" si="31"/>
        <v>0</v>
      </c>
      <c r="Q92" s="189">
        <v>0</v>
      </c>
      <c r="R92" s="190">
        <f t="shared" si="32"/>
        <v>11.091891046362115</v>
      </c>
    </row>
    <row r="93" spans="1:18" x14ac:dyDescent="0.25">
      <c r="A93" s="147">
        <v>2</v>
      </c>
      <c r="B93" s="182">
        <f t="shared" si="4"/>
        <v>44958</v>
      </c>
      <c r="C93" s="202">
        <f t="shared" si="33"/>
        <v>44988</v>
      </c>
      <c r="D93" s="202">
        <f t="shared" si="33"/>
        <v>45009</v>
      </c>
      <c r="E93" s="191" t="s">
        <v>8</v>
      </c>
      <c r="F93" s="147">
        <v>9</v>
      </c>
      <c r="G93" s="184">
        <v>83</v>
      </c>
      <c r="H93" s="185">
        <f t="shared" si="27"/>
        <v>5.5726951227524033</v>
      </c>
      <c r="I93" s="185">
        <f t="shared" si="22"/>
        <v>5.6947303713270712</v>
      </c>
      <c r="J93" s="186">
        <f t="shared" si="2"/>
        <v>472.66262082014691</v>
      </c>
      <c r="K93" s="187">
        <f t="shared" si="13"/>
        <v>462.53369518844949</v>
      </c>
      <c r="L93" s="188">
        <f t="shared" si="26"/>
        <v>10.128925631697427</v>
      </c>
      <c r="M93" s="189">
        <f t="shared" si="28"/>
        <v>0.83091909268419151</v>
      </c>
      <c r="N93" s="190">
        <f t="shared" si="29"/>
        <v>10.959844724381618</v>
      </c>
      <c r="O93" s="189">
        <f t="shared" si="30"/>
        <v>0</v>
      </c>
      <c r="P93" s="189">
        <f t="shared" si="31"/>
        <v>0</v>
      </c>
      <c r="Q93" s="189">
        <v>0</v>
      </c>
      <c r="R93" s="190">
        <f t="shared" si="32"/>
        <v>10.959844724381618</v>
      </c>
    </row>
    <row r="94" spans="1:18" x14ac:dyDescent="0.25">
      <c r="A94" s="147">
        <v>3</v>
      </c>
      <c r="B94" s="182">
        <f t="shared" si="4"/>
        <v>44986</v>
      </c>
      <c r="C94" s="202">
        <f t="shared" si="33"/>
        <v>45021</v>
      </c>
      <c r="D94" s="202">
        <f t="shared" si="33"/>
        <v>45040</v>
      </c>
      <c r="E94" s="191" t="s">
        <v>8</v>
      </c>
      <c r="F94" s="147">
        <v>9</v>
      </c>
      <c r="G94" s="184">
        <v>76</v>
      </c>
      <c r="H94" s="185">
        <f t="shared" si="27"/>
        <v>5.5726951227524033</v>
      </c>
      <c r="I94" s="185">
        <f t="shared" si="22"/>
        <v>5.6947303713270712</v>
      </c>
      <c r="J94" s="186">
        <f t="shared" si="2"/>
        <v>432.79950822085743</v>
      </c>
      <c r="K94" s="187">
        <f t="shared" ref="K94:K133" si="34">+$G94*H94</f>
        <v>423.52482932918264</v>
      </c>
      <c r="L94" s="188">
        <f>+J94-K94</f>
        <v>9.274678891674796</v>
      </c>
      <c r="M94" s="189">
        <f t="shared" si="28"/>
        <v>0.76084157884335613</v>
      </c>
      <c r="N94" s="190">
        <f t="shared" si="29"/>
        <v>10.035520470518152</v>
      </c>
      <c r="O94" s="189">
        <f t="shared" si="30"/>
        <v>0</v>
      </c>
      <c r="P94" s="189">
        <f t="shared" si="31"/>
        <v>0</v>
      </c>
      <c r="Q94" s="189">
        <v>0</v>
      </c>
      <c r="R94" s="190">
        <f t="shared" si="32"/>
        <v>10.035520470518152</v>
      </c>
    </row>
    <row r="95" spans="1:18" x14ac:dyDescent="0.25">
      <c r="A95" s="111">
        <v>4</v>
      </c>
      <c r="B95" s="182">
        <f t="shared" si="4"/>
        <v>45017</v>
      </c>
      <c r="C95" s="202">
        <f t="shared" si="33"/>
        <v>45049</v>
      </c>
      <c r="D95" s="202">
        <f t="shared" si="33"/>
        <v>45070</v>
      </c>
      <c r="E95" s="191" t="s">
        <v>8</v>
      </c>
      <c r="F95" s="147">
        <v>9</v>
      </c>
      <c r="G95" s="184">
        <v>69</v>
      </c>
      <c r="H95" s="185">
        <f t="shared" si="27"/>
        <v>5.5726951227524033</v>
      </c>
      <c r="I95" s="185">
        <f t="shared" si="22"/>
        <v>5.6947303713270712</v>
      </c>
      <c r="J95" s="186">
        <f t="shared" si="2"/>
        <v>392.9363956215679</v>
      </c>
      <c r="K95" s="187">
        <f t="shared" si="34"/>
        <v>384.51596346991585</v>
      </c>
      <c r="L95" s="188">
        <f t="shared" ref="L95:L105" si="35">+J95-K95</f>
        <v>8.4204321516520508</v>
      </c>
      <c r="M95" s="189">
        <f t="shared" si="28"/>
        <v>0.69076406500252063</v>
      </c>
      <c r="N95" s="190">
        <f t="shared" si="29"/>
        <v>9.1111962166545712</v>
      </c>
      <c r="O95" s="189">
        <f t="shared" si="30"/>
        <v>0</v>
      </c>
      <c r="P95" s="189">
        <f t="shared" si="31"/>
        <v>0</v>
      </c>
      <c r="Q95" s="189">
        <v>0</v>
      </c>
      <c r="R95" s="190">
        <f t="shared" si="32"/>
        <v>9.1111962166545712</v>
      </c>
    </row>
    <row r="96" spans="1:18" x14ac:dyDescent="0.25">
      <c r="A96" s="147">
        <v>5</v>
      </c>
      <c r="B96" s="182">
        <f t="shared" si="4"/>
        <v>45047</v>
      </c>
      <c r="C96" s="202">
        <f t="shared" ref="C96:D116" si="36">+C84</f>
        <v>45082</v>
      </c>
      <c r="D96" s="202">
        <f t="shared" si="36"/>
        <v>45103</v>
      </c>
      <c r="E96" s="52" t="s">
        <v>8</v>
      </c>
      <c r="F96" s="147">
        <v>9</v>
      </c>
      <c r="G96" s="184">
        <v>99</v>
      </c>
      <c r="H96" s="185">
        <f t="shared" si="27"/>
        <v>5.5726951227524033</v>
      </c>
      <c r="I96" s="185">
        <f t="shared" si="22"/>
        <v>5.6947303713270712</v>
      </c>
      <c r="J96" s="186">
        <f t="shared" si="2"/>
        <v>563.77830676138001</v>
      </c>
      <c r="K96" s="187">
        <f t="shared" si="34"/>
        <v>551.69681715248794</v>
      </c>
      <c r="L96" s="188">
        <f t="shared" si="35"/>
        <v>12.08148960889207</v>
      </c>
      <c r="M96" s="189">
        <f t="shared" si="28"/>
        <v>0.99109626717752974</v>
      </c>
      <c r="N96" s="190">
        <f t="shared" si="29"/>
        <v>13.072585876069601</v>
      </c>
      <c r="O96" s="189">
        <f t="shared" si="30"/>
        <v>0</v>
      </c>
      <c r="P96" s="189">
        <f t="shared" si="31"/>
        <v>0</v>
      </c>
      <c r="Q96" s="189">
        <v>0</v>
      </c>
      <c r="R96" s="190">
        <f t="shared" si="32"/>
        <v>13.072585876069601</v>
      </c>
    </row>
    <row r="97" spans="1:18" x14ac:dyDescent="0.25">
      <c r="A97" s="147">
        <v>6</v>
      </c>
      <c r="B97" s="182">
        <f t="shared" si="4"/>
        <v>45078</v>
      </c>
      <c r="C97" s="202">
        <f t="shared" si="36"/>
        <v>45112</v>
      </c>
      <c r="D97" s="202">
        <f t="shared" si="36"/>
        <v>45131</v>
      </c>
      <c r="E97" s="52" t="s">
        <v>8</v>
      </c>
      <c r="F97" s="147">
        <v>9</v>
      </c>
      <c r="G97" s="184">
        <v>149</v>
      </c>
      <c r="H97" s="185">
        <f t="shared" si="27"/>
        <v>5.5726951227524033</v>
      </c>
      <c r="I97" s="185">
        <f t="shared" si="22"/>
        <v>5.6947303713270712</v>
      </c>
      <c r="J97" s="186">
        <f t="shared" si="2"/>
        <v>848.51482532773355</v>
      </c>
      <c r="K97" s="187">
        <f t="shared" si="34"/>
        <v>830.33157329010805</v>
      </c>
      <c r="L97" s="192">
        <f t="shared" si="35"/>
        <v>18.183252037625493</v>
      </c>
      <c r="M97" s="189">
        <f t="shared" si="28"/>
        <v>1.4916499374692114</v>
      </c>
      <c r="N97" s="190">
        <f t="shared" si="29"/>
        <v>19.674901975094706</v>
      </c>
      <c r="O97" s="189">
        <f t="shared" si="30"/>
        <v>0</v>
      </c>
      <c r="P97" s="189">
        <f t="shared" si="31"/>
        <v>0</v>
      </c>
      <c r="Q97" s="189">
        <v>0</v>
      </c>
      <c r="R97" s="190">
        <f t="shared" si="32"/>
        <v>19.674901975094706</v>
      </c>
    </row>
    <row r="98" spans="1:18" x14ac:dyDescent="0.25">
      <c r="A98" s="111">
        <v>7</v>
      </c>
      <c r="B98" s="182">
        <f t="shared" si="4"/>
        <v>45108</v>
      </c>
      <c r="C98" s="202">
        <f t="shared" si="36"/>
        <v>45141</v>
      </c>
      <c r="D98" s="202">
        <f t="shared" si="36"/>
        <v>45162</v>
      </c>
      <c r="E98" s="52" t="s">
        <v>8</v>
      </c>
      <c r="F98" s="147">
        <v>9</v>
      </c>
      <c r="G98" s="184">
        <v>148</v>
      </c>
      <c r="H98" s="185">
        <f t="shared" si="27"/>
        <v>5.5726951227524033</v>
      </c>
      <c r="I98" s="185">
        <f t="shared" si="22"/>
        <v>5.6947303713270712</v>
      </c>
      <c r="J98" s="186">
        <f t="shared" si="2"/>
        <v>842.82009495640648</v>
      </c>
      <c r="K98" s="193">
        <f t="shared" si="34"/>
        <v>824.75887816735565</v>
      </c>
      <c r="L98" s="192">
        <f t="shared" si="35"/>
        <v>18.061216789050832</v>
      </c>
      <c r="M98" s="189">
        <f t="shared" si="28"/>
        <v>1.4816388640633775</v>
      </c>
      <c r="N98" s="190">
        <f t="shared" si="29"/>
        <v>19.542855653114209</v>
      </c>
      <c r="O98" s="189">
        <f t="shared" si="30"/>
        <v>0</v>
      </c>
      <c r="P98" s="189">
        <f t="shared" si="31"/>
        <v>0</v>
      </c>
      <c r="Q98" s="189">
        <v>0</v>
      </c>
      <c r="R98" s="190">
        <f t="shared" si="32"/>
        <v>19.542855653114209</v>
      </c>
    </row>
    <row r="99" spans="1:18" x14ac:dyDescent="0.25">
      <c r="A99" s="147">
        <v>8</v>
      </c>
      <c r="B99" s="182">
        <f t="shared" si="4"/>
        <v>45139</v>
      </c>
      <c r="C99" s="202">
        <f t="shared" si="36"/>
        <v>45174</v>
      </c>
      <c r="D99" s="202">
        <f t="shared" si="36"/>
        <v>45194</v>
      </c>
      <c r="E99" s="52" t="s">
        <v>8</v>
      </c>
      <c r="F99" s="147">
        <v>9</v>
      </c>
      <c r="G99" s="184">
        <v>160</v>
      </c>
      <c r="H99" s="185">
        <f t="shared" si="27"/>
        <v>5.5726951227524033</v>
      </c>
      <c r="I99" s="185">
        <f t="shared" si="22"/>
        <v>5.6947303713270712</v>
      </c>
      <c r="J99" s="186">
        <f t="shared" si="2"/>
        <v>911.15685941233141</v>
      </c>
      <c r="K99" s="193">
        <f t="shared" si="34"/>
        <v>891.63121964038453</v>
      </c>
      <c r="L99" s="192">
        <f t="shared" si="35"/>
        <v>19.525639771946885</v>
      </c>
      <c r="M99" s="189">
        <f t="shared" si="28"/>
        <v>1.6017717449333813</v>
      </c>
      <c r="N99" s="190">
        <f t="shared" si="29"/>
        <v>21.127411516880265</v>
      </c>
      <c r="O99" s="189">
        <f t="shared" si="30"/>
        <v>0</v>
      </c>
      <c r="P99" s="189">
        <f t="shared" si="31"/>
        <v>0</v>
      </c>
      <c r="Q99" s="189">
        <v>0</v>
      </c>
      <c r="R99" s="190">
        <f t="shared" si="32"/>
        <v>21.127411516880265</v>
      </c>
    </row>
    <row r="100" spans="1:18" x14ac:dyDescent="0.25">
      <c r="A100" s="147">
        <v>9</v>
      </c>
      <c r="B100" s="182">
        <f t="shared" si="4"/>
        <v>45170</v>
      </c>
      <c r="C100" s="202">
        <f t="shared" si="36"/>
        <v>45203</v>
      </c>
      <c r="D100" s="202">
        <f t="shared" si="36"/>
        <v>45223</v>
      </c>
      <c r="E100" s="52" t="s">
        <v>8</v>
      </c>
      <c r="F100" s="147">
        <v>9</v>
      </c>
      <c r="G100" s="184">
        <v>155</v>
      </c>
      <c r="H100" s="185">
        <f t="shared" si="27"/>
        <v>5.5726951227524033</v>
      </c>
      <c r="I100" s="185">
        <f t="shared" si="22"/>
        <v>5.6947303713270712</v>
      </c>
      <c r="J100" s="186">
        <f t="shared" si="2"/>
        <v>882.68320755569607</v>
      </c>
      <c r="K100" s="193">
        <f t="shared" si="34"/>
        <v>863.76774402662249</v>
      </c>
      <c r="L100" s="192">
        <f t="shared" si="35"/>
        <v>18.915463529073577</v>
      </c>
      <c r="M100" s="189">
        <f t="shared" si="28"/>
        <v>1.5517163779042131</v>
      </c>
      <c r="N100" s="190">
        <f t="shared" si="29"/>
        <v>20.46717990697779</v>
      </c>
      <c r="O100" s="189">
        <f t="shared" si="30"/>
        <v>0</v>
      </c>
      <c r="P100" s="189">
        <f t="shared" si="31"/>
        <v>0</v>
      </c>
      <c r="Q100" s="189">
        <v>0</v>
      </c>
      <c r="R100" s="190">
        <f t="shared" si="32"/>
        <v>20.46717990697779</v>
      </c>
    </row>
    <row r="101" spans="1:18" x14ac:dyDescent="0.25">
      <c r="A101" s="111">
        <v>10</v>
      </c>
      <c r="B101" s="182">
        <f t="shared" si="4"/>
        <v>45200</v>
      </c>
      <c r="C101" s="202">
        <f t="shared" si="36"/>
        <v>45233</v>
      </c>
      <c r="D101" s="202">
        <f t="shared" si="36"/>
        <v>45254</v>
      </c>
      <c r="E101" s="52" t="s">
        <v>8</v>
      </c>
      <c r="F101" s="147">
        <v>9</v>
      </c>
      <c r="G101" s="184">
        <v>110</v>
      </c>
      <c r="H101" s="185">
        <f t="shared" si="27"/>
        <v>5.5726951227524033</v>
      </c>
      <c r="I101" s="185">
        <f t="shared" si="22"/>
        <v>5.6947303713270712</v>
      </c>
      <c r="J101" s="186">
        <f t="shared" si="2"/>
        <v>626.42034084597788</v>
      </c>
      <c r="K101" s="193">
        <f t="shared" si="34"/>
        <v>612.99646350276441</v>
      </c>
      <c r="L101" s="192">
        <f t="shared" si="35"/>
        <v>13.423877343213462</v>
      </c>
      <c r="M101" s="189">
        <f t="shared" si="28"/>
        <v>1.1012180746416997</v>
      </c>
      <c r="N101" s="190">
        <f t="shared" si="29"/>
        <v>14.525095417855162</v>
      </c>
      <c r="O101" s="189">
        <f t="shared" si="30"/>
        <v>0</v>
      </c>
      <c r="P101" s="189">
        <f t="shared" si="31"/>
        <v>0</v>
      </c>
      <c r="Q101" s="189">
        <v>0</v>
      </c>
      <c r="R101" s="190">
        <f t="shared" si="32"/>
        <v>14.525095417855162</v>
      </c>
    </row>
    <row r="102" spans="1:18" x14ac:dyDescent="0.25">
      <c r="A102" s="147">
        <v>11</v>
      </c>
      <c r="B102" s="182">
        <f t="shared" si="4"/>
        <v>45231</v>
      </c>
      <c r="C102" s="202">
        <f t="shared" si="36"/>
        <v>45266</v>
      </c>
      <c r="D102" s="202">
        <f t="shared" si="36"/>
        <v>45285</v>
      </c>
      <c r="E102" s="52" t="s">
        <v>8</v>
      </c>
      <c r="F102" s="147">
        <v>9</v>
      </c>
      <c r="G102" s="184">
        <v>70</v>
      </c>
      <c r="H102" s="185">
        <f t="shared" si="27"/>
        <v>5.5726951227524033</v>
      </c>
      <c r="I102" s="185">
        <f t="shared" si="22"/>
        <v>5.6947303713270712</v>
      </c>
      <c r="J102" s="186">
        <f t="shared" si="2"/>
        <v>398.63112599289497</v>
      </c>
      <c r="K102" s="193">
        <f t="shared" si="34"/>
        <v>390.08865859266825</v>
      </c>
      <c r="L102" s="192">
        <f t="shared" si="35"/>
        <v>8.5424674002267125</v>
      </c>
      <c r="M102" s="189">
        <f t="shared" si="28"/>
        <v>0.70077513840835426</v>
      </c>
      <c r="N102" s="190">
        <f t="shared" si="29"/>
        <v>9.2432425386350658</v>
      </c>
      <c r="O102" s="189">
        <f t="shared" si="30"/>
        <v>0</v>
      </c>
      <c r="P102" s="189">
        <f t="shared" si="31"/>
        <v>0</v>
      </c>
      <c r="Q102" s="189">
        <v>0</v>
      </c>
      <c r="R102" s="190">
        <f t="shared" si="32"/>
        <v>9.2432425386350658</v>
      </c>
    </row>
    <row r="103" spans="1:18" s="206" customFormat="1" x14ac:dyDescent="0.25">
      <c r="A103" s="147">
        <v>12</v>
      </c>
      <c r="B103" s="204">
        <f t="shared" si="4"/>
        <v>45261</v>
      </c>
      <c r="C103" s="202">
        <f t="shared" si="36"/>
        <v>45294</v>
      </c>
      <c r="D103" s="202">
        <f t="shared" si="36"/>
        <v>45315</v>
      </c>
      <c r="E103" s="205" t="s">
        <v>8</v>
      </c>
      <c r="F103" s="158">
        <v>9</v>
      </c>
      <c r="G103" s="184">
        <v>66</v>
      </c>
      <c r="H103" s="194">
        <f t="shared" si="27"/>
        <v>5.5726951227524033</v>
      </c>
      <c r="I103" s="194">
        <f t="shared" si="22"/>
        <v>5.6947303713270712</v>
      </c>
      <c r="J103" s="195">
        <f t="shared" si="2"/>
        <v>375.85220450758669</v>
      </c>
      <c r="K103" s="196">
        <f t="shared" si="34"/>
        <v>367.79787810165863</v>
      </c>
      <c r="L103" s="197">
        <f t="shared" si="35"/>
        <v>8.0543264059280659</v>
      </c>
      <c r="M103" s="189">
        <f t="shared" si="28"/>
        <v>0.66073084478501976</v>
      </c>
      <c r="N103" s="190">
        <f t="shared" si="29"/>
        <v>8.7150572507130857</v>
      </c>
      <c r="O103" s="189">
        <f t="shared" si="30"/>
        <v>0</v>
      </c>
      <c r="P103" s="189">
        <f t="shared" si="31"/>
        <v>0</v>
      </c>
      <c r="Q103" s="189">
        <v>0</v>
      </c>
      <c r="R103" s="190">
        <f t="shared" si="32"/>
        <v>8.7150572507130857</v>
      </c>
    </row>
    <row r="104" spans="1:18" x14ac:dyDescent="0.25">
      <c r="A104" s="111">
        <v>1</v>
      </c>
      <c r="B104" s="182">
        <f t="shared" si="4"/>
        <v>44927</v>
      </c>
      <c r="C104" s="199">
        <f t="shared" si="36"/>
        <v>44960</v>
      </c>
      <c r="D104" s="199">
        <f t="shared" si="36"/>
        <v>44981</v>
      </c>
      <c r="E104" s="183" t="s">
        <v>19</v>
      </c>
      <c r="F104" s="111">
        <v>9</v>
      </c>
      <c r="G104" s="184">
        <v>63</v>
      </c>
      <c r="H104" s="185">
        <f t="shared" si="27"/>
        <v>5.5726951227524033</v>
      </c>
      <c r="I104" s="185">
        <f t="shared" si="22"/>
        <v>5.6947303713270712</v>
      </c>
      <c r="J104" s="186">
        <f t="shared" si="2"/>
        <v>358.76801339360549</v>
      </c>
      <c r="K104" s="187">
        <f t="shared" si="34"/>
        <v>351.0797927334014</v>
      </c>
      <c r="L104" s="188">
        <f t="shared" si="35"/>
        <v>7.688220660204081</v>
      </c>
      <c r="M104" s="189">
        <f t="shared" si="28"/>
        <v>0.63069762456751877</v>
      </c>
      <c r="N104" s="190">
        <f t="shared" si="29"/>
        <v>8.3189182847716001</v>
      </c>
      <c r="O104" s="189">
        <f t="shared" si="30"/>
        <v>0</v>
      </c>
      <c r="P104" s="189">
        <f t="shared" si="31"/>
        <v>0</v>
      </c>
      <c r="Q104" s="189">
        <v>0</v>
      </c>
      <c r="R104" s="190">
        <f t="shared" si="32"/>
        <v>8.3189182847716001</v>
      </c>
    </row>
    <row r="105" spans="1:18" x14ac:dyDescent="0.25">
      <c r="A105" s="147">
        <v>2</v>
      </c>
      <c r="B105" s="182">
        <f t="shared" si="4"/>
        <v>44958</v>
      </c>
      <c r="C105" s="202">
        <f t="shared" si="36"/>
        <v>44988</v>
      </c>
      <c r="D105" s="202">
        <f t="shared" si="36"/>
        <v>45009</v>
      </c>
      <c r="E105" s="191" t="s">
        <v>19</v>
      </c>
      <c r="F105" s="147">
        <v>9</v>
      </c>
      <c r="G105" s="184">
        <v>63</v>
      </c>
      <c r="H105" s="185">
        <f t="shared" si="27"/>
        <v>5.5726951227524033</v>
      </c>
      <c r="I105" s="185">
        <f t="shared" si="22"/>
        <v>5.6947303713270712</v>
      </c>
      <c r="J105" s="186">
        <f t="shared" si="2"/>
        <v>358.76801339360549</v>
      </c>
      <c r="K105" s="187">
        <f t="shared" si="34"/>
        <v>351.0797927334014</v>
      </c>
      <c r="L105" s="188">
        <f t="shared" si="35"/>
        <v>7.688220660204081</v>
      </c>
      <c r="M105" s="189">
        <f t="shared" si="28"/>
        <v>0.63069762456751877</v>
      </c>
      <c r="N105" s="190">
        <f t="shared" si="29"/>
        <v>8.3189182847716001</v>
      </c>
      <c r="O105" s="189">
        <f t="shared" si="30"/>
        <v>0</v>
      </c>
      <c r="P105" s="189">
        <f t="shared" si="31"/>
        <v>0</v>
      </c>
      <c r="Q105" s="189">
        <v>0</v>
      </c>
      <c r="R105" s="190">
        <f t="shared" si="32"/>
        <v>8.3189182847716001</v>
      </c>
    </row>
    <row r="106" spans="1:18" x14ac:dyDescent="0.25">
      <c r="A106" s="147">
        <v>3</v>
      </c>
      <c r="B106" s="182">
        <f t="shared" si="4"/>
        <v>44986</v>
      </c>
      <c r="C106" s="202">
        <f t="shared" si="36"/>
        <v>45021</v>
      </c>
      <c r="D106" s="202">
        <f t="shared" si="36"/>
        <v>45040</v>
      </c>
      <c r="E106" s="191" t="s">
        <v>19</v>
      </c>
      <c r="F106" s="147">
        <v>9</v>
      </c>
      <c r="G106" s="184">
        <v>67</v>
      </c>
      <c r="H106" s="185">
        <f t="shared" si="27"/>
        <v>5.5726951227524033</v>
      </c>
      <c r="I106" s="185">
        <f t="shared" si="22"/>
        <v>5.6947303713270712</v>
      </c>
      <c r="J106" s="186">
        <f t="shared" si="2"/>
        <v>381.54693487891376</v>
      </c>
      <c r="K106" s="187">
        <f t="shared" si="34"/>
        <v>373.37057322441103</v>
      </c>
      <c r="L106" s="188">
        <f>+J106-K106</f>
        <v>8.1763616545027276</v>
      </c>
      <c r="M106" s="189">
        <f t="shared" si="28"/>
        <v>0.67074191819085338</v>
      </c>
      <c r="N106" s="190">
        <f t="shared" si="29"/>
        <v>8.8471035726935803</v>
      </c>
      <c r="O106" s="189">
        <f t="shared" si="30"/>
        <v>0</v>
      </c>
      <c r="P106" s="189">
        <f t="shared" si="31"/>
        <v>0</v>
      </c>
      <c r="Q106" s="189">
        <v>0</v>
      </c>
      <c r="R106" s="190">
        <f t="shared" si="32"/>
        <v>8.8471035726935803</v>
      </c>
    </row>
    <row r="107" spans="1:18" x14ac:dyDescent="0.25">
      <c r="A107" s="111">
        <v>4</v>
      </c>
      <c r="B107" s="182">
        <f t="shared" si="4"/>
        <v>45017</v>
      </c>
      <c r="C107" s="202">
        <f t="shared" si="36"/>
        <v>45049</v>
      </c>
      <c r="D107" s="202">
        <f t="shared" si="36"/>
        <v>45070</v>
      </c>
      <c r="E107" s="52" t="s">
        <v>19</v>
      </c>
      <c r="F107" s="147">
        <v>9</v>
      </c>
      <c r="G107" s="184">
        <v>62</v>
      </c>
      <c r="H107" s="185">
        <f t="shared" si="27"/>
        <v>5.5726951227524033</v>
      </c>
      <c r="I107" s="185">
        <f t="shared" si="22"/>
        <v>5.6947303713270712</v>
      </c>
      <c r="J107" s="186">
        <f t="shared" si="2"/>
        <v>353.07328302227842</v>
      </c>
      <c r="K107" s="187">
        <f t="shared" si="34"/>
        <v>345.507097610649</v>
      </c>
      <c r="L107" s="188">
        <f t="shared" ref="L107:L115" si="37">+J107-K107</f>
        <v>7.5661854116294194</v>
      </c>
      <c r="M107" s="189">
        <f t="shared" si="28"/>
        <v>0.62068655116168514</v>
      </c>
      <c r="N107" s="190">
        <f t="shared" si="29"/>
        <v>8.1868719627911037</v>
      </c>
      <c r="O107" s="189">
        <f t="shared" si="30"/>
        <v>0</v>
      </c>
      <c r="P107" s="189">
        <f t="shared" si="31"/>
        <v>0</v>
      </c>
      <c r="Q107" s="189">
        <v>0</v>
      </c>
      <c r="R107" s="190">
        <f t="shared" si="32"/>
        <v>8.1868719627911037</v>
      </c>
    </row>
    <row r="108" spans="1:18" x14ac:dyDescent="0.25">
      <c r="A108" s="147">
        <v>5</v>
      </c>
      <c r="B108" s="182">
        <f t="shared" si="4"/>
        <v>45047</v>
      </c>
      <c r="C108" s="202">
        <f t="shared" si="36"/>
        <v>45082</v>
      </c>
      <c r="D108" s="202">
        <f t="shared" si="36"/>
        <v>45103</v>
      </c>
      <c r="E108" s="52" t="s">
        <v>19</v>
      </c>
      <c r="F108" s="147">
        <v>9</v>
      </c>
      <c r="G108" s="184">
        <v>51</v>
      </c>
      <c r="H108" s="185">
        <f t="shared" si="27"/>
        <v>5.5726951227524033</v>
      </c>
      <c r="I108" s="185">
        <f t="shared" ref="I108:I127" si="38">$J$3</f>
        <v>5.6947303713270712</v>
      </c>
      <c r="J108" s="186">
        <f t="shared" si="2"/>
        <v>290.43124893768061</v>
      </c>
      <c r="K108" s="187">
        <f t="shared" si="34"/>
        <v>284.20745126037258</v>
      </c>
      <c r="L108" s="188">
        <f t="shared" si="37"/>
        <v>6.2237976773080277</v>
      </c>
      <c r="M108" s="189">
        <f t="shared" si="28"/>
        <v>0.51056474369751526</v>
      </c>
      <c r="N108" s="190">
        <f t="shared" si="29"/>
        <v>6.7343624210055433</v>
      </c>
      <c r="O108" s="189">
        <f t="shared" si="30"/>
        <v>0</v>
      </c>
      <c r="P108" s="189">
        <f t="shared" si="31"/>
        <v>0</v>
      </c>
      <c r="Q108" s="189">
        <v>0</v>
      </c>
      <c r="R108" s="190">
        <f t="shared" si="32"/>
        <v>6.7343624210055433</v>
      </c>
    </row>
    <row r="109" spans="1:18" x14ac:dyDescent="0.25">
      <c r="A109" s="147">
        <v>6</v>
      </c>
      <c r="B109" s="182">
        <f t="shared" ref="B109:B148" si="39">DATE($R$1,A109,1)</f>
        <v>45078</v>
      </c>
      <c r="C109" s="202">
        <f t="shared" si="36"/>
        <v>45112</v>
      </c>
      <c r="D109" s="202">
        <f t="shared" si="36"/>
        <v>45131</v>
      </c>
      <c r="E109" s="52" t="s">
        <v>19</v>
      </c>
      <c r="F109" s="147">
        <v>9</v>
      </c>
      <c r="G109" s="184">
        <v>67</v>
      </c>
      <c r="H109" s="185">
        <f t="shared" si="27"/>
        <v>5.5726951227524033</v>
      </c>
      <c r="I109" s="185">
        <f t="shared" si="38"/>
        <v>5.6947303713270712</v>
      </c>
      <c r="J109" s="186">
        <f t="shared" ref="J109:J148" si="40">+$G109*I109</f>
        <v>381.54693487891376</v>
      </c>
      <c r="K109" s="187">
        <f t="shared" si="34"/>
        <v>373.37057322441103</v>
      </c>
      <c r="L109" s="192">
        <f t="shared" si="37"/>
        <v>8.1763616545027276</v>
      </c>
      <c r="M109" s="189">
        <f t="shared" si="28"/>
        <v>0.67074191819085338</v>
      </c>
      <c r="N109" s="190">
        <f t="shared" si="29"/>
        <v>8.8471035726935803</v>
      </c>
      <c r="O109" s="189">
        <f t="shared" si="30"/>
        <v>0</v>
      </c>
      <c r="P109" s="189">
        <f t="shared" si="31"/>
        <v>0</v>
      </c>
      <c r="Q109" s="189">
        <v>0</v>
      </c>
      <c r="R109" s="190">
        <f t="shared" si="32"/>
        <v>8.8471035726935803</v>
      </c>
    </row>
    <row r="110" spans="1:18" x14ac:dyDescent="0.25">
      <c r="A110" s="111">
        <v>7</v>
      </c>
      <c r="B110" s="182">
        <f t="shared" si="39"/>
        <v>45108</v>
      </c>
      <c r="C110" s="202">
        <f t="shared" si="36"/>
        <v>45141</v>
      </c>
      <c r="D110" s="202">
        <f t="shared" si="36"/>
        <v>45162</v>
      </c>
      <c r="E110" s="52" t="s">
        <v>19</v>
      </c>
      <c r="F110" s="147">
        <v>9</v>
      </c>
      <c r="G110" s="184">
        <v>66</v>
      </c>
      <c r="H110" s="185">
        <f t="shared" si="27"/>
        <v>5.5726951227524033</v>
      </c>
      <c r="I110" s="185">
        <f t="shared" si="38"/>
        <v>5.6947303713270712</v>
      </c>
      <c r="J110" s="186">
        <f t="shared" si="40"/>
        <v>375.85220450758669</v>
      </c>
      <c r="K110" s="193">
        <f t="shared" si="34"/>
        <v>367.79787810165863</v>
      </c>
      <c r="L110" s="192">
        <f t="shared" si="37"/>
        <v>8.0543264059280659</v>
      </c>
      <c r="M110" s="189">
        <f t="shared" si="28"/>
        <v>0.66073084478501976</v>
      </c>
      <c r="N110" s="190">
        <f t="shared" si="29"/>
        <v>8.7150572507130857</v>
      </c>
      <c r="O110" s="189">
        <f t="shared" si="30"/>
        <v>0</v>
      </c>
      <c r="P110" s="189">
        <f t="shared" si="31"/>
        <v>0</v>
      </c>
      <c r="Q110" s="189">
        <v>0</v>
      </c>
      <c r="R110" s="190">
        <f t="shared" si="32"/>
        <v>8.7150572507130857</v>
      </c>
    </row>
    <row r="111" spans="1:18" x14ac:dyDescent="0.25">
      <c r="A111" s="147">
        <v>8</v>
      </c>
      <c r="B111" s="182">
        <f t="shared" si="39"/>
        <v>45139</v>
      </c>
      <c r="C111" s="202">
        <f t="shared" si="36"/>
        <v>45174</v>
      </c>
      <c r="D111" s="202">
        <f t="shared" si="36"/>
        <v>45194</v>
      </c>
      <c r="E111" s="52" t="s">
        <v>19</v>
      </c>
      <c r="F111" s="147">
        <v>9</v>
      </c>
      <c r="G111" s="184">
        <v>61</v>
      </c>
      <c r="H111" s="185">
        <f t="shared" si="27"/>
        <v>5.5726951227524033</v>
      </c>
      <c r="I111" s="185">
        <f t="shared" si="38"/>
        <v>5.6947303713270712</v>
      </c>
      <c r="J111" s="186">
        <f t="shared" si="40"/>
        <v>347.37855265095135</v>
      </c>
      <c r="K111" s="193">
        <f t="shared" si="34"/>
        <v>339.93440248789659</v>
      </c>
      <c r="L111" s="192">
        <f t="shared" si="37"/>
        <v>7.4441501630547577</v>
      </c>
      <c r="M111" s="189">
        <f t="shared" si="28"/>
        <v>0.61067547775585151</v>
      </c>
      <c r="N111" s="190">
        <f t="shared" si="29"/>
        <v>8.0548256408106091</v>
      </c>
      <c r="O111" s="189">
        <f t="shared" si="30"/>
        <v>0</v>
      </c>
      <c r="P111" s="189">
        <f t="shared" si="31"/>
        <v>0</v>
      </c>
      <c r="Q111" s="189">
        <v>0</v>
      </c>
      <c r="R111" s="190">
        <f t="shared" si="32"/>
        <v>8.0548256408106091</v>
      </c>
    </row>
    <row r="112" spans="1:18" x14ac:dyDescent="0.25">
      <c r="A112" s="147">
        <v>9</v>
      </c>
      <c r="B112" s="182">
        <f t="shared" si="39"/>
        <v>45170</v>
      </c>
      <c r="C112" s="202">
        <f t="shared" si="36"/>
        <v>45203</v>
      </c>
      <c r="D112" s="202">
        <f t="shared" si="36"/>
        <v>45223</v>
      </c>
      <c r="E112" s="52" t="s">
        <v>19</v>
      </c>
      <c r="F112" s="147">
        <v>9</v>
      </c>
      <c r="G112" s="184">
        <v>55</v>
      </c>
      <c r="H112" s="185">
        <f t="shared" si="27"/>
        <v>5.5726951227524033</v>
      </c>
      <c r="I112" s="185">
        <f t="shared" si="38"/>
        <v>5.6947303713270712</v>
      </c>
      <c r="J112" s="186">
        <f t="shared" si="40"/>
        <v>313.21017042298894</v>
      </c>
      <c r="K112" s="193">
        <f t="shared" si="34"/>
        <v>306.49823175138221</v>
      </c>
      <c r="L112" s="192">
        <f t="shared" si="37"/>
        <v>6.7119386716067311</v>
      </c>
      <c r="M112" s="189">
        <f t="shared" si="28"/>
        <v>0.55060903732084987</v>
      </c>
      <c r="N112" s="190">
        <f t="shared" si="29"/>
        <v>7.2625477089275812</v>
      </c>
      <c r="O112" s="189">
        <f t="shared" si="30"/>
        <v>0</v>
      </c>
      <c r="P112" s="189">
        <f t="shared" si="31"/>
        <v>0</v>
      </c>
      <c r="Q112" s="189">
        <v>0</v>
      </c>
      <c r="R112" s="190">
        <f t="shared" si="32"/>
        <v>7.2625477089275812</v>
      </c>
    </row>
    <row r="113" spans="1:18" x14ac:dyDescent="0.25">
      <c r="A113" s="111">
        <v>10</v>
      </c>
      <c r="B113" s="182">
        <f t="shared" si="39"/>
        <v>45200</v>
      </c>
      <c r="C113" s="202">
        <f t="shared" si="36"/>
        <v>45233</v>
      </c>
      <c r="D113" s="202">
        <f t="shared" si="36"/>
        <v>45254</v>
      </c>
      <c r="E113" s="52" t="s">
        <v>19</v>
      </c>
      <c r="F113" s="147">
        <v>9</v>
      </c>
      <c r="G113" s="184">
        <v>59</v>
      </c>
      <c r="H113" s="185">
        <f t="shared" si="27"/>
        <v>5.5726951227524033</v>
      </c>
      <c r="I113" s="185">
        <f t="shared" si="38"/>
        <v>5.6947303713270712</v>
      </c>
      <c r="J113" s="186">
        <f t="shared" si="40"/>
        <v>335.98909190829721</v>
      </c>
      <c r="K113" s="193">
        <f t="shared" si="34"/>
        <v>328.78901224239178</v>
      </c>
      <c r="L113" s="192">
        <f t="shared" si="37"/>
        <v>7.2000796659054345</v>
      </c>
      <c r="M113" s="189">
        <f t="shared" si="28"/>
        <v>0.59065333094418437</v>
      </c>
      <c r="N113" s="190">
        <f t="shared" si="29"/>
        <v>7.7907329968496191</v>
      </c>
      <c r="O113" s="189">
        <f t="shared" si="30"/>
        <v>0</v>
      </c>
      <c r="P113" s="189">
        <f t="shared" si="31"/>
        <v>0</v>
      </c>
      <c r="Q113" s="189">
        <v>0</v>
      </c>
      <c r="R113" s="190">
        <f t="shared" si="32"/>
        <v>7.7907329968496191</v>
      </c>
    </row>
    <row r="114" spans="1:18" x14ac:dyDescent="0.25">
      <c r="A114" s="147">
        <v>11</v>
      </c>
      <c r="B114" s="182">
        <f t="shared" si="39"/>
        <v>45231</v>
      </c>
      <c r="C114" s="202">
        <f t="shared" si="36"/>
        <v>45266</v>
      </c>
      <c r="D114" s="202">
        <f t="shared" si="36"/>
        <v>45285</v>
      </c>
      <c r="E114" s="52" t="s">
        <v>19</v>
      </c>
      <c r="F114" s="147">
        <v>9</v>
      </c>
      <c r="G114" s="184">
        <v>63</v>
      </c>
      <c r="H114" s="185">
        <f t="shared" si="27"/>
        <v>5.5726951227524033</v>
      </c>
      <c r="I114" s="185">
        <f t="shared" si="38"/>
        <v>5.6947303713270712</v>
      </c>
      <c r="J114" s="186">
        <f t="shared" si="40"/>
        <v>358.76801339360549</v>
      </c>
      <c r="K114" s="193">
        <f t="shared" si="34"/>
        <v>351.0797927334014</v>
      </c>
      <c r="L114" s="192">
        <f t="shared" si="37"/>
        <v>7.688220660204081</v>
      </c>
      <c r="M114" s="189">
        <f t="shared" si="28"/>
        <v>0.63069762456751877</v>
      </c>
      <c r="N114" s="190">
        <f t="shared" si="29"/>
        <v>8.3189182847716001</v>
      </c>
      <c r="O114" s="189">
        <f t="shared" si="30"/>
        <v>0</v>
      </c>
      <c r="P114" s="189">
        <f t="shared" si="31"/>
        <v>0</v>
      </c>
      <c r="Q114" s="189">
        <v>0</v>
      </c>
      <c r="R114" s="190">
        <f t="shared" si="32"/>
        <v>8.3189182847716001</v>
      </c>
    </row>
    <row r="115" spans="1:18" s="206" customFormat="1" x14ac:dyDescent="0.25">
      <c r="A115" s="147">
        <v>12</v>
      </c>
      <c r="B115" s="204">
        <f t="shared" si="39"/>
        <v>45261</v>
      </c>
      <c r="C115" s="207">
        <f t="shared" si="36"/>
        <v>45294</v>
      </c>
      <c r="D115" s="207">
        <f t="shared" si="36"/>
        <v>45315</v>
      </c>
      <c r="E115" s="205" t="s">
        <v>19</v>
      </c>
      <c r="F115" s="158">
        <v>9</v>
      </c>
      <c r="G115" s="184">
        <v>63</v>
      </c>
      <c r="H115" s="194">
        <f t="shared" si="27"/>
        <v>5.5726951227524033</v>
      </c>
      <c r="I115" s="194">
        <f t="shared" si="38"/>
        <v>5.6947303713270712</v>
      </c>
      <c r="J115" s="195">
        <f t="shared" si="40"/>
        <v>358.76801339360549</v>
      </c>
      <c r="K115" s="196">
        <f t="shared" si="34"/>
        <v>351.0797927334014</v>
      </c>
      <c r="L115" s="197">
        <f t="shared" si="37"/>
        <v>7.688220660204081</v>
      </c>
      <c r="M115" s="189">
        <f t="shared" si="28"/>
        <v>0.63069762456751877</v>
      </c>
      <c r="N115" s="190">
        <f t="shared" si="29"/>
        <v>8.3189182847716001</v>
      </c>
      <c r="O115" s="189">
        <f t="shared" si="30"/>
        <v>0</v>
      </c>
      <c r="P115" s="189">
        <f t="shared" si="31"/>
        <v>0</v>
      </c>
      <c r="Q115" s="189">
        <v>0</v>
      </c>
      <c r="R115" s="190">
        <f t="shared" si="32"/>
        <v>8.3189182847716001</v>
      </c>
    </row>
    <row r="116" spans="1:18" x14ac:dyDescent="0.25">
      <c r="A116" s="111">
        <v>1</v>
      </c>
      <c r="B116" s="182">
        <f t="shared" si="39"/>
        <v>44927</v>
      </c>
      <c r="C116" s="202">
        <f t="shared" si="36"/>
        <v>44960</v>
      </c>
      <c r="D116" s="202">
        <f t="shared" si="36"/>
        <v>44981</v>
      </c>
      <c r="E116" s="183" t="s">
        <v>13</v>
      </c>
      <c r="F116" s="111">
        <v>9</v>
      </c>
      <c r="G116" s="184">
        <v>967</v>
      </c>
      <c r="H116" s="185">
        <f t="shared" si="27"/>
        <v>5.5726951227524033</v>
      </c>
      <c r="I116" s="185">
        <f t="shared" si="38"/>
        <v>5.6947303713270712</v>
      </c>
      <c r="J116" s="186">
        <f t="shared" si="40"/>
        <v>5506.8042690732782</v>
      </c>
      <c r="K116" s="187">
        <f t="shared" si="34"/>
        <v>5388.7961837015737</v>
      </c>
      <c r="L116" s="188">
        <f>+J116-K116</f>
        <v>118.00808537170451</v>
      </c>
      <c r="M116" s="189">
        <f t="shared" si="28"/>
        <v>9.6807079834411223</v>
      </c>
      <c r="N116" s="190">
        <f t="shared" si="29"/>
        <v>127.68879335514563</v>
      </c>
      <c r="O116" s="189">
        <f t="shared" si="30"/>
        <v>0</v>
      </c>
      <c r="P116" s="189">
        <f t="shared" si="31"/>
        <v>0</v>
      </c>
      <c r="Q116" s="189">
        <v>0</v>
      </c>
      <c r="R116" s="190">
        <f t="shared" si="32"/>
        <v>127.68879335514563</v>
      </c>
    </row>
    <row r="117" spans="1:18" x14ac:dyDescent="0.25">
      <c r="A117" s="147">
        <v>2</v>
      </c>
      <c r="B117" s="182">
        <f t="shared" si="39"/>
        <v>44958</v>
      </c>
      <c r="C117" s="202">
        <f t="shared" ref="C117:D139" si="41">+C105</f>
        <v>44988</v>
      </c>
      <c r="D117" s="202">
        <f t="shared" si="41"/>
        <v>45009</v>
      </c>
      <c r="E117" s="191" t="s">
        <v>13</v>
      </c>
      <c r="F117" s="147">
        <v>9</v>
      </c>
      <c r="G117" s="184">
        <v>955</v>
      </c>
      <c r="H117" s="185">
        <f t="shared" si="27"/>
        <v>5.5726951227524033</v>
      </c>
      <c r="I117" s="185">
        <f t="shared" si="38"/>
        <v>5.6947303713270712</v>
      </c>
      <c r="J117" s="186">
        <f t="shared" si="40"/>
        <v>5438.4675046173534</v>
      </c>
      <c r="K117" s="187">
        <f t="shared" si="34"/>
        <v>5321.9238422285453</v>
      </c>
      <c r="L117" s="188">
        <f>+J117-K117</f>
        <v>116.54366238880812</v>
      </c>
      <c r="M117" s="189">
        <f t="shared" si="28"/>
        <v>9.5605751025711196</v>
      </c>
      <c r="N117" s="190">
        <f t="shared" si="29"/>
        <v>126.10423749137924</v>
      </c>
      <c r="O117" s="189">
        <f t="shared" si="30"/>
        <v>0</v>
      </c>
      <c r="P117" s="189">
        <f t="shared" si="31"/>
        <v>0</v>
      </c>
      <c r="Q117" s="189">
        <v>0</v>
      </c>
      <c r="R117" s="190">
        <f t="shared" si="32"/>
        <v>126.10423749137924</v>
      </c>
    </row>
    <row r="118" spans="1:18" x14ac:dyDescent="0.25">
      <c r="A118" s="147">
        <v>3</v>
      </c>
      <c r="B118" s="182">
        <f t="shared" si="39"/>
        <v>44986</v>
      </c>
      <c r="C118" s="202">
        <f t="shared" si="41"/>
        <v>45021</v>
      </c>
      <c r="D118" s="202">
        <f t="shared" si="41"/>
        <v>45040</v>
      </c>
      <c r="E118" s="191" t="s">
        <v>13</v>
      </c>
      <c r="F118" s="147">
        <v>9</v>
      </c>
      <c r="G118" s="184">
        <v>872</v>
      </c>
      <c r="H118" s="185">
        <f t="shared" si="27"/>
        <v>5.5726951227524033</v>
      </c>
      <c r="I118" s="185">
        <f t="shared" si="38"/>
        <v>5.6947303713270712</v>
      </c>
      <c r="J118" s="186">
        <f t="shared" si="40"/>
        <v>4965.8048837972065</v>
      </c>
      <c r="K118" s="187">
        <f t="shared" si="34"/>
        <v>4859.3901470400961</v>
      </c>
      <c r="L118" s="188">
        <f>+J118-K118</f>
        <v>106.4147367571104</v>
      </c>
      <c r="M118" s="189">
        <f t="shared" si="28"/>
        <v>8.7296560098869271</v>
      </c>
      <c r="N118" s="190">
        <f t="shared" si="29"/>
        <v>115.14439276699733</v>
      </c>
      <c r="O118" s="189">
        <f t="shared" si="30"/>
        <v>0</v>
      </c>
      <c r="P118" s="189">
        <f t="shared" si="31"/>
        <v>0</v>
      </c>
      <c r="Q118" s="189">
        <v>0</v>
      </c>
      <c r="R118" s="190">
        <f t="shared" si="32"/>
        <v>115.14439276699733</v>
      </c>
    </row>
    <row r="119" spans="1:18" x14ac:dyDescent="0.25">
      <c r="A119" s="111">
        <v>4</v>
      </c>
      <c r="B119" s="182">
        <f t="shared" si="39"/>
        <v>45017</v>
      </c>
      <c r="C119" s="202">
        <f t="shared" si="41"/>
        <v>45049</v>
      </c>
      <c r="D119" s="202">
        <f t="shared" si="41"/>
        <v>45070</v>
      </c>
      <c r="E119" s="52" t="s">
        <v>13</v>
      </c>
      <c r="F119" s="147">
        <v>9</v>
      </c>
      <c r="G119" s="184">
        <v>602</v>
      </c>
      <c r="H119" s="185">
        <f t="shared" si="27"/>
        <v>5.5726951227524033</v>
      </c>
      <c r="I119" s="185">
        <f t="shared" si="38"/>
        <v>5.6947303713270712</v>
      </c>
      <c r="J119" s="186">
        <f t="shared" si="40"/>
        <v>3428.2276835388971</v>
      </c>
      <c r="K119" s="187">
        <f t="shared" si="34"/>
        <v>3354.7624638969469</v>
      </c>
      <c r="L119" s="188">
        <f t="shared" ref="L119:L127" si="42">+J119-K119</f>
        <v>73.465219641950171</v>
      </c>
      <c r="M119" s="189">
        <f t="shared" si="28"/>
        <v>6.0266661903118468</v>
      </c>
      <c r="N119" s="190">
        <f t="shared" si="29"/>
        <v>79.491885832262014</v>
      </c>
      <c r="O119" s="189">
        <f t="shared" si="30"/>
        <v>0</v>
      </c>
      <c r="P119" s="189">
        <f t="shared" si="31"/>
        <v>0</v>
      </c>
      <c r="Q119" s="189">
        <v>0</v>
      </c>
      <c r="R119" s="190">
        <f t="shared" si="32"/>
        <v>79.491885832262014</v>
      </c>
    </row>
    <row r="120" spans="1:18" x14ac:dyDescent="0.25">
      <c r="A120" s="147">
        <v>5</v>
      </c>
      <c r="B120" s="182">
        <f t="shared" si="39"/>
        <v>45047</v>
      </c>
      <c r="C120" s="202">
        <f t="shared" si="41"/>
        <v>45082</v>
      </c>
      <c r="D120" s="202">
        <f t="shared" si="41"/>
        <v>45103</v>
      </c>
      <c r="E120" s="52" t="s">
        <v>13</v>
      </c>
      <c r="F120" s="147">
        <v>9</v>
      </c>
      <c r="G120" s="184">
        <v>711</v>
      </c>
      <c r="H120" s="185">
        <f t="shared" si="27"/>
        <v>5.5726951227524033</v>
      </c>
      <c r="I120" s="185">
        <f t="shared" si="38"/>
        <v>5.6947303713270712</v>
      </c>
      <c r="J120" s="186">
        <f t="shared" si="40"/>
        <v>4048.9532940135477</v>
      </c>
      <c r="K120" s="187">
        <f t="shared" si="34"/>
        <v>3962.1862322769589</v>
      </c>
      <c r="L120" s="188">
        <f t="shared" si="42"/>
        <v>86.767061736588857</v>
      </c>
      <c r="M120" s="189">
        <f t="shared" si="28"/>
        <v>7.1178731915477123</v>
      </c>
      <c r="N120" s="190">
        <f t="shared" si="29"/>
        <v>93.884934928136573</v>
      </c>
      <c r="O120" s="189">
        <f t="shared" si="30"/>
        <v>0</v>
      </c>
      <c r="P120" s="189">
        <f t="shared" si="31"/>
        <v>0</v>
      </c>
      <c r="Q120" s="189">
        <v>0</v>
      </c>
      <c r="R120" s="190">
        <f t="shared" si="32"/>
        <v>93.884934928136573</v>
      </c>
    </row>
    <row r="121" spans="1:18" x14ac:dyDescent="0.25">
      <c r="A121" s="147">
        <v>6</v>
      </c>
      <c r="B121" s="182">
        <f t="shared" si="39"/>
        <v>45078</v>
      </c>
      <c r="C121" s="202">
        <f t="shared" si="41"/>
        <v>45112</v>
      </c>
      <c r="D121" s="202">
        <f t="shared" si="41"/>
        <v>45131</v>
      </c>
      <c r="E121" s="52" t="s">
        <v>13</v>
      </c>
      <c r="F121" s="147">
        <v>9</v>
      </c>
      <c r="G121" s="184">
        <v>936</v>
      </c>
      <c r="H121" s="185">
        <f t="shared" si="27"/>
        <v>5.5726951227524033</v>
      </c>
      <c r="I121" s="185">
        <f t="shared" si="38"/>
        <v>5.6947303713270712</v>
      </c>
      <c r="J121" s="186">
        <f t="shared" si="40"/>
        <v>5330.2676275621388</v>
      </c>
      <c r="K121" s="187">
        <f t="shared" si="34"/>
        <v>5216.0426348962492</v>
      </c>
      <c r="L121" s="192">
        <f t="shared" si="42"/>
        <v>114.22499266588966</v>
      </c>
      <c r="M121" s="189">
        <f t="shared" si="28"/>
        <v>9.370364707860281</v>
      </c>
      <c r="N121" s="190">
        <f t="shared" si="29"/>
        <v>123.59535737374993</v>
      </c>
      <c r="O121" s="189">
        <f t="shared" si="30"/>
        <v>0</v>
      </c>
      <c r="P121" s="189">
        <f t="shared" si="31"/>
        <v>0</v>
      </c>
      <c r="Q121" s="189">
        <v>0</v>
      </c>
      <c r="R121" s="190">
        <f t="shared" si="32"/>
        <v>123.59535737374993</v>
      </c>
    </row>
    <row r="122" spans="1:18" x14ac:dyDescent="0.25">
      <c r="A122" s="111">
        <v>7</v>
      </c>
      <c r="B122" s="182">
        <f t="shared" si="39"/>
        <v>45108</v>
      </c>
      <c r="C122" s="202">
        <f t="shared" si="41"/>
        <v>45141</v>
      </c>
      <c r="D122" s="202">
        <f t="shared" si="41"/>
        <v>45162</v>
      </c>
      <c r="E122" s="52" t="s">
        <v>13</v>
      </c>
      <c r="F122" s="147">
        <v>9</v>
      </c>
      <c r="G122" s="184">
        <v>932</v>
      </c>
      <c r="H122" s="185">
        <f t="shared" si="27"/>
        <v>5.5726951227524033</v>
      </c>
      <c r="I122" s="185">
        <f t="shared" si="38"/>
        <v>5.6947303713270712</v>
      </c>
      <c r="J122" s="186">
        <f t="shared" si="40"/>
        <v>5307.4887060768306</v>
      </c>
      <c r="K122" s="193">
        <f t="shared" si="34"/>
        <v>5193.75185440524</v>
      </c>
      <c r="L122" s="192">
        <f t="shared" si="42"/>
        <v>113.73685167159056</v>
      </c>
      <c r="M122" s="189">
        <f t="shared" si="28"/>
        <v>9.3303204142369456</v>
      </c>
      <c r="N122" s="190">
        <f t="shared" si="29"/>
        <v>123.06717208582751</v>
      </c>
      <c r="O122" s="189">
        <f t="shared" si="30"/>
        <v>0</v>
      </c>
      <c r="P122" s="189">
        <f t="shared" si="31"/>
        <v>0</v>
      </c>
      <c r="Q122" s="189">
        <v>0</v>
      </c>
      <c r="R122" s="190">
        <f t="shared" si="32"/>
        <v>123.06717208582751</v>
      </c>
    </row>
    <row r="123" spans="1:18" x14ac:dyDescent="0.25">
      <c r="A123" s="147">
        <v>8</v>
      </c>
      <c r="B123" s="182">
        <f t="shared" si="39"/>
        <v>45139</v>
      </c>
      <c r="C123" s="202">
        <f t="shared" si="41"/>
        <v>45174</v>
      </c>
      <c r="D123" s="202">
        <f t="shared" si="41"/>
        <v>45194</v>
      </c>
      <c r="E123" s="52" t="s">
        <v>13</v>
      </c>
      <c r="F123" s="147">
        <v>9</v>
      </c>
      <c r="G123" s="184">
        <v>1025</v>
      </c>
      <c r="H123" s="185">
        <f t="shared" si="27"/>
        <v>5.5726951227524033</v>
      </c>
      <c r="I123" s="185">
        <f t="shared" si="38"/>
        <v>5.6947303713270712</v>
      </c>
      <c r="J123" s="186">
        <f t="shared" si="40"/>
        <v>5837.0986306102477</v>
      </c>
      <c r="K123" s="193">
        <f t="shared" si="34"/>
        <v>5712.0125008212135</v>
      </c>
      <c r="L123" s="192">
        <f t="shared" si="42"/>
        <v>125.0861297890342</v>
      </c>
      <c r="M123" s="189">
        <f t="shared" si="28"/>
        <v>10.261350240979473</v>
      </c>
      <c r="N123" s="190">
        <f t="shared" si="29"/>
        <v>135.34748003001368</v>
      </c>
      <c r="O123" s="189">
        <f t="shared" si="30"/>
        <v>0</v>
      </c>
      <c r="P123" s="189">
        <f t="shared" si="31"/>
        <v>0</v>
      </c>
      <c r="Q123" s="189">
        <v>0</v>
      </c>
      <c r="R123" s="190">
        <f t="shared" si="32"/>
        <v>135.34748003001368</v>
      </c>
    </row>
    <row r="124" spans="1:18" x14ac:dyDescent="0.25">
      <c r="A124" s="147">
        <v>9</v>
      </c>
      <c r="B124" s="182">
        <f t="shared" si="39"/>
        <v>45170</v>
      </c>
      <c r="C124" s="202">
        <f t="shared" si="41"/>
        <v>45203</v>
      </c>
      <c r="D124" s="202">
        <f t="shared" si="41"/>
        <v>45223</v>
      </c>
      <c r="E124" s="52" t="s">
        <v>13</v>
      </c>
      <c r="F124" s="147">
        <v>9</v>
      </c>
      <c r="G124" s="184">
        <v>934</v>
      </c>
      <c r="H124" s="185">
        <f t="shared" si="27"/>
        <v>5.5726951227524033</v>
      </c>
      <c r="I124" s="185">
        <f t="shared" si="38"/>
        <v>5.6947303713270712</v>
      </c>
      <c r="J124" s="186">
        <f t="shared" si="40"/>
        <v>5318.8781668194842</v>
      </c>
      <c r="K124" s="193">
        <f t="shared" si="34"/>
        <v>5204.8972446507451</v>
      </c>
      <c r="L124" s="192">
        <f t="shared" si="42"/>
        <v>113.9809221687392</v>
      </c>
      <c r="M124" s="189">
        <f t="shared" si="28"/>
        <v>9.3503425610486133</v>
      </c>
      <c r="N124" s="190">
        <f t="shared" si="29"/>
        <v>123.33126472978782</v>
      </c>
      <c r="O124" s="189">
        <f t="shared" si="30"/>
        <v>0</v>
      </c>
      <c r="P124" s="189">
        <f t="shared" si="31"/>
        <v>0</v>
      </c>
      <c r="Q124" s="189">
        <v>0</v>
      </c>
      <c r="R124" s="190">
        <f t="shared" si="32"/>
        <v>123.33126472978782</v>
      </c>
    </row>
    <row r="125" spans="1:18" x14ac:dyDescent="0.25">
      <c r="A125" s="111">
        <v>10</v>
      </c>
      <c r="B125" s="182">
        <f t="shared" si="39"/>
        <v>45200</v>
      </c>
      <c r="C125" s="202">
        <f t="shared" si="41"/>
        <v>45233</v>
      </c>
      <c r="D125" s="202">
        <f t="shared" si="41"/>
        <v>45254</v>
      </c>
      <c r="E125" s="52" t="s">
        <v>13</v>
      </c>
      <c r="F125" s="147">
        <v>9</v>
      </c>
      <c r="G125" s="184">
        <v>700</v>
      </c>
      <c r="H125" s="185">
        <f t="shared" si="27"/>
        <v>5.5726951227524033</v>
      </c>
      <c r="I125" s="185">
        <f t="shared" si="38"/>
        <v>5.6947303713270712</v>
      </c>
      <c r="J125" s="186">
        <f t="shared" si="40"/>
        <v>3986.3112599289498</v>
      </c>
      <c r="K125" s="193">
        <f t="shared" si="34"/>
        <v>3900.8865859266825</v>
      </c>
      <c r="L125" s="192">
        <f t="shared" si="42"/>
        <v>85.424674002267238</v>
      </c>
      <c r="M125" s="189">
        <f t="shared" si="28"/>
        <v>7.0077513840835426</v>
      </c>
      <c r="N125" s="190">
        <f t="shared" si="29"/>
        <v>92.432425386350786</v>
      </c>
      <c r="O125" s="189">
        <f t="shared" si="30"/>
        <v>0</v>
      </c>
      <c r="P125" s="189">
        <f t="shared" si="31"/>
        <v>0</v>
      </c>
      <c r="Q125" s="189">
        <v>0</v>
      </c>
      <c r="R125" s="190">
        <f t="shared" si="32"/>
        <v>92.432425386350786</v>
      </c>
    </row>
    <row r="126" spans="1:18" x14ac:dyDescent="0.25">
      <c r="A126" s="147">
        <v>11</v>
      </c>
      <c r="B126" s="182">
        <f t="shared" si="39"/>
        <v>45231</v>
      </c>
      <c r="C126" s="202">
        <f t="shared" si="41"/>
        <v>45266</v>
      </c>
      <c r="D126" s="202">
        <f t="shared" si="41"/>
        <v>45285</v>
      </c>
      <c r="E126" s="52" t="s">
        <v>13</v>
      </c>
      <c r="F126" s="147">
        <v>9</v>
      </c>
      <c r="G126" s="184">
        <v>867</v>
      </c>
      <c r="H126" s="185">
        <f t="shared" si="27"/>
        <v>5.5726951227524033</v>
      </c>
      <c r="I126" s="185">
        <f t="shared" si="38"/>
        <v>5.6947303713270712</v>
      </c>
      <c r="J126" s="186">
        <f t="shared" si="40"/>
        <v>4937.3312319405704</v>
      </c>
      <c r="K126" s="193">
        <f t="shared" si="34"/>
        <v>4831.5266714263335</v>
      </c>
      <c r="L126" s="192">
        <f t="shared" si="42"/>
        <v>105.80456051423698</v>
      </c>
      <c r="M126" s="189">
        <f t="shared" si="28"/>
        <v>8.6796006428577606</v>
      </c>
      <c r="N126" s="190">
        <f t="shared" si="29"/>
        <v>114.48416115709475</v>
      </c>
      <c r="O126" s="189">
        <f t="shared" si="30"/>
        <v>0</v>
      </c>
      <c r="P126" s="189">
        <f t="shared" si="31"/>
        <v>0</v>
      </c>
      <c r="Q126" s="189">
        <v>0</v>
      </c>
      <c r="R126" s="190">
        <f t="shared" si="32"/>
        <v>114.48416115709475</v>
      </c>
    </row>
    <row r="127" spans="1:18" s="206" customFormat="1" x14ac:dyDescent="0.25">
      <c r="A127" s="147">
        <v>12</v>
      </c>
      <c r="B127" s="204">
        <f t="shared" si="39"/>
        <v>45261</v>
      </c>
      <c r="C127" s="207">
        <f t="shared" si="41"/>
        <v>45294</v>
      </c>
      <c r="D127" s="207">
        <f t="shared" si="41"/>
        <v>45315</v>
      </c>
      <c r="E127" s="205" t="s">
        <v>13</v>
      </c>
      <c r="F127" s="158">
        <v>9</v>
      </c>
      <c r="G127" s="184">
        <v>916</v>
      </c>
      <c r="H127" s="194">
        <f t="shared" si="27"/>
        <v>5.5726951227524033</v>
      </c>
      <c r="I127" s="194">
        <f t="shared" si="38"/>
        <v>5.6947303713270712</v>
      </c>
      <c r="J127" s="195">
        <f t="shared" si="40"/>
        <v>5216.3730201355975</v>
      </c>
      <c r="K127" s="196">
        <f t="shared" si="34"/>
        <v>5104.5887324412015</v>
      </c>
      <c r="L127" s="197">
        <f t="shared" si="42"/>
        <v>111.78428769439597</v>
      </c>
      <c r="M127" s="189">
        <f t="shared" si="28"/>
        <v>9.1701432397436076</v>
      </c>
      <c r="N127" s="190">
        <f t="shared" si="29"/>
        <v>120.95443093413958</v>
      </c>
      <c r="O127" s="189">
        <f t="shared" si="30"/>
        <v>0</v>
      </c>
      <c r="P127" s="189">
        <f t="shared" si="31"/>
        <v>0</v>
      </c>
      <c r="Q127" s="189">
        <v>0</v>
      </c>
      <c r="R127" s="190">
        <f t="shared" si="32"/>
        <v>120.95443093413958</v>
      </c>
    </row>
    <row r="128" spans="1:18" x14ac:dyDescent="0.25">
      <c r="A128" s="111">
        <v>1</v>
      </c>
      <c r="B128" s="182">
        <f t="shared" si="39"/>
        <v>44927</v>
      </c>
      <c r="C128" s="202">
        <f t="shared" si="41"/>
        <v>44960</v>
      </c>
      <c r="D128" s="202">
        <f t="shared" si="41"/>
        <v>44981</v>
      </c>
      <c r="E128" s="183" t="s">
        <v>15</v>
      </c>
      <c r="F128" s="111">
        <v>9</v>
      </c>
      <c r="G128" s="184">
        <v>6</v>
      </c>
      <c r="H128" s="185">
        <f t="shared" si="27"/>
        <v>5.5726951227524033</v>
      </c>
      <c r="I128" s="185">
        <f t="shared" ref="I128:I147" si="43">$J$3</f>
        <v>5.6947303713270712</v>
      </c>
      <c r="J128" s="186">
        <f t="shared" si="40"/>
        <v>34.168382227962425</v>
      </c>
      <c r="K128" s="187">
        <f t="shared" si="34"/>
        <v>33.43617073651442</v>
      </c>
      <c r="L128" s="188">
        <f>+J128-K128</f>
        <v>0.73221149144800535</v>
      </c>
      <c r="M128" s="189">
        <f t="shared" si="28"/>
        <v>6.0066440435001797E-2</v>
      </c>
      <c r="N128" s="190">
        <f t="shared" si="29"/>
        <v>0.7922779318830071</v>
      </c>
      <c r="O128" s="189">
        <f t="shared" si="30"/>
        <v>0</v>
      </c>
      <c r="P128" s="189">
        <f t="shared" si="31"/>
        <v>0</v>
      </c>
      <c r="Q128" s="189">
        <v>0</v>
      </c>
      <c r="R128" s="190">
        <f t="shared" si="32"/>
        <v>0.7922779318830071</v>
      </c>
    </row>
    <row r="129" spans="1:18" x14ac:dyDescent="0.25">
      <c r="A129" s="147">
        <v>2</v>
      </c>
      <c r="B129" s="182">
        <f t="shared" si="39"/>
        <v>44958</v>
      </c>
      <c r="C129" s="202">
        <f t="shared" si="41"/>
        <v>44988</v>
      </c>
      <c r="D129" s="202">
        <f t="shared" si="41"/>
        <v>45009</v>
      </c>
      <c r="E129" s="191" t="s">
        <v>15</v>
      </c>
      <c r="F129" s="147">
        <v>9</v>
      </c>
      <c r="G129" s="184">
        <v>5</v>
      </c>
      <c r="H129" s="185">
        <f t="shared" si="27"/>
        <v>5.5726951227524033</v>
      </c>
      <c r="I129" s="185">
        <f t="shared" si="43"/>
        <v>5.6947303713270712</v>
      </c>
      <c r="J129" s="186">
        <f t="shared" si="40"/>
        <v>28.473651856635357</v>
      </c>
      <c r="K129" s="187">
        <f t="shared" si="34"/>
        <v>27.863475613762017</v>
      </c>
      <c r="L129" s="188">
        <f>+J129-K129</f>
        <v>0.61017624287334016</v>
      </c>
      <c r="M129" s="189">
        <f t="shared" si="28"/>
        <v>5.0055367029168164E-2</v>
      </c>
      <c r="N129" s="190">
        <f t="shared" si="29"/>
        <v>0.66023160990250829</v>
      </c>
      <c r="O129" s="189">
        <f t="shared" si="30"/>
        <v>0</v>
      </c>
      <c r="P129" s="189">
        <f t="shared" si="31"/>
        <v>0</v>
      </c>
      <c r="Q129" s="189">
        <v>0</v>
      </c>
      <c r="R129" s="190">
        <f t="shared" si="32"/>
        <v>0.66023160990250829</v>
      </c>
    </row>
    <row r="130" spans="1:18" x14ac:dyDescent="0.25">
      <c r="A130" s="147">
        <v>3</v>
      </c>
      <c r="B130" s="182">
        <f t="shared" si="39"/>
        <v>44986</v>
      </c>
      <c r="C130" s="202">
        <f t="shared" si="41"/>
        <v>45021</v>
      </c>
      <c r="D130" s="202">
        <f t="shared" si="41"/>
        <v>45040</v>
      </c>
      <c r="E130" s="191" t="s">
        <v>15</v>
      </c>
      <c r="F130" s="147">
        <v>9</v>
      </c>
      <c r="G130" s="184">
        <v>5</v>
      </c>
      <c r="H130" s="185">
        <f t="shared" si="27"/>
        <v>5.5726951227524033</v>
      </c>
      <c r="I130" s="185">
        <f t="shared" si="43"/>
        <v>5.6947303713270712</v>
      </c>
      <c r="J130" s="186">
        <f t="shared" si="40"/>
        <v>28.473651856635357</v>
      </c>
      <c r="K130" s="187">
        <f t="shared" si="34"/>
        <v>27.863475613762017</v>
      </c>
      <c r="L130" s="188">
        <f>+J130-K130</f>
        <v>0.61017624287334016</v>
      </c>
      <c r="M130" s="189">
        <f t="shared" si="28"/>
        <v>5.0055367029168164E-2</v>
      </c>
      <c r="N130" s="190">
        <f t="shared" si="29"/>
        <v>0.66023160990250829</v>
      </c>
      <c r="O130" s="189">
        <f t="shared" si="30"/>
        <v>0</v>
      </c>
      <c r="P130" s="189">
        <f t="shared" si="31"/>
        <v>0</v>
      </c>
      <c r="Q130" s="189">
        <v>0</v>
      </c>
      <c r="R130" s="190">
        <f t="shared" si="32"/>
        <v>0.66023160990250829</v>
      </c>
    </row>
    <row r="131" spans="1:18" x14ac:dyDescent="0.25">
      <c r="A131" s="111">
        <v>4</v>
      </c>
      <c r="B131" s="182">
        <f t="shared" si="39"/>
        <v>45017</v>
      </c>
      <c r="C131" s="202">
        <f t="shared" si="41"/>
        <v>45049</v>
      </c>
      <c r="D131" s="202">
        <f t="shared" si="41"/>
        <v>45070</v>
      </c>
      <c r="E131" s="191" t="s">
        <v>15</v>
      </c>
      <c r="F131" s="147">
        <v>9</v>
      </c>
      <c r="G131" s="184">
        <v>7</v>
      </c>
      <c r="H131" s="185">
        <f t="shared" si="27"/>
        <v>5.5726951227524033</v>
      </c>
      <c r="I131" s="185">
        <f t="shared" si="43"/>
        <v>5.6947303713270712</v>
      </c>
      <c r="J131" s="186">
        <f t="shared" si="40"/>
        <v>39.863112599289501</v>
      </c>
      <c r="K131" s="187">
        <f t="shared" si="34"/>
        <v>39.00886585926682</v>
      </c>
      <c r="L131" s="188">
        <f t="shared" ref="L131:L141" si="44">+J131-K131</f>
        <v>0.85424674002268119</v>
      </c>
      <c r="M131" s="189">
        <f t="shared" si="28"/>
        <v>7.0077513840835437E-2</v>
      </c>
      <c r="N131" s="190">
        <f t="shared" si="29"/>
        <v>0.92432425386351658</v>
      </c>
      <c r="O131" s="189">
        <f t="shared" si="30"/>
        <v>0</v>
      </c>
      <c r="P131" s="189">
        <f t="shared" si="31"/>
        <v>0</v>
      </c>
      <c r="Q131" s="189">
        <v>0</v>
      </c>
      <c r="R131" s="190">
        <f t="shared" si="32"/>
        <v>0.92432425386351658</v>
      </c>
    </row>
    <row r="132" spans="1:18" x14ac:dyDescent="0.25">
      <c r="A132" s="147">
        <v>5</v>
      </c>
      <c r="B132" s="182">
        <f t="shared" si="39"/>
        <v>45047</v>
      </c>
      <c r="C132" s="202">
        <f t="shared" si="41"/>
        <v>45082</v>
      </c>
      <c r="D132" s="202">
        <f t="shared" si="41"/>
        <v>45103</v>
      </c>
      <c r="E132" s="52" t="s">
        <v>15</v>
      </c>
      <c r="F132" s="147">
        <v>9</v>
      </c>
      <c r="G132" s="184">
        <v>4</v>
      </c>
      <c r="H132" s="185">
        <f t="shared" si="27"/>
        <v>5.5726951227524033</v>
      </c>
      <c r="I132" s="185">
        <f t="shared" si="43"/>
        <v>5.6947303713270712</v>
      </c>
      <c r="J132" s="186">
        <f t="shared" si="40"/>
        <v>22.778921485308285</v>
      </c>
      <c r="K132" s="187">
        <f t="shared" si="34"/>
        <v>22.290780491009613</v>
      </c>
      <c r="L132" s="188">
        <f t="shared" si="44"/>
        <v>0.48814099429867142</v>
      </c>
      <c r="M132" s="189">
        <f t="shared" si="28"/>
        <v>4.0044293623334525E-2</v>
      </c>
      <c r="N132" s="190">
        <f t="shared" si="29"/>
        <v>0.52818528792200592</v>
      </c>
      <c r="O132" s="189">
        <f t="shared" si="30"/>
        <v>0</v>
      </c>
      <c r="P132" s="189">
        <f t="shared" si="31"/>
        <v>0</v>
      </c>
      <c r="Q132" s="189">
        <v>0</v>
      </c>
      <c r="R132" s="190">
        <f t="shared" si="32"/>
        <v>0.52818528792200592</v>
      </c>
    </row>
    <row r="133" spans="1:18" x14ac:dyDescent="0.25">
      <c r="A133" s="147">
        <v>6</v>
      </c>
      <c r="B133" s="182">
        <f t="shared" si="39"/>
        <v>45078</v>
      </c>
      <c r="C133" s="202">
        <f t="shared" si="41"/>
        <v>45112</v>
      </c>
      <c r="D133" s="202">
        <f t="shared" si="41"/>
        <v>45131</v>
      </c>
      <c r="E133" s="52" t="s">
        <v>15</v>
      </c>
      <c r="F133" s="147">
        <v>9</v>
      </c>
      <c r="G133" s="184">
        <v>14</v>
      </c>
      <c r="H133" s="185">
        <f t="shared" si="27"/>
        <v>5.5726951227524033</v>
      </c>
      <c r="I133" s="185">
        <f t="shared" si="43"/>
        <v>5.6947303713270712</v>
      </c>
      <c r="J133" s="186">
        <f t="shared" si="40"/>
        <v>79.726225198579002</v>
      </c>
      <c r="K133" s="187">
        <f t="shared" si="34"/>
        <v>78.017731718533639</v>
      </c>
      <c r="L133" s="192">
        <f t="shared" si="44"/>
        <v>1.7084934800453624</v>
      </c>
      <c r="M133" s="189">
        <f t="shared" si="28"/>
        <v>0.14015502768167087</v>
      </c>
      <c r="N133" s="190">
        <f t="shared" si="29"/>
        <v>1.8486485077270332</v>
      </c>
      <c r="O133" s="189">
        <f t="shared" si="30"/>
        <v>0</v>
      </c>
      <c r="P133" s="189">
        <f t="shared" si="31"/>
        <v>0</v>
      </c>
      <c r="Q133" s="189">
        <v>0</v>
      </c>
      <c r="R133" s="190">
        <f t="shared" si="32"/>
        <v>1.8486485077270332</v>
      </c>
    </row>
    <row r="134" spans="1:18" x14ac:dyDescent="0.25">
      <c r="A134" s="111">
        <v>7</v>
      </c>
      <c r="B134" s="182">
        <f t="shared" si="39"/>
        <v>45108</v>
      </c>
      <c r="C134" s="202">
        <f t="shared" si="41"/>
        <v>45141</v>
      </c>
      <c r="D134" s="202">
        <f t="shared" si="41"/>
        <v>45162</v>
      </c>
      <c r="E134" s="52" t="s">
        <v>15</v>
      </c>
      <c r="F134" s="147">
        <v>9</v>
      </c>
      <c r="G134" s="184">
        <v>13</v>
      </c>
      <c r="H134" s="185">
        <f t="shared" si="27"/>
        <v>5.5726951227524033</v>
      </c>
      <c r="I134" s="185">
        <f t="shared" si="43"/>
        <v>5.6947303713270712</v>
      </c>
      <c r="J134" s="186">
        <f t="shared" si="40"/>
        <v>74.031494827251919</v>
      </c>
      <c r="K134" s="193">
        <f t="shared" ref="K134:K197" si="45">+$G134*H134</f>
        <v>72.445036595781247</v>
      </c>
      <c r="L134" s="192">
        <f t="shared" si="44"/>
        <v>1.5864582314706723</v>
      </c>
      <c r="M134" s="189">
        <f t="shared" si="28"/>
        <v>0.13014395427583722</v>
      </c>
      <c r="N134" s="190">
        <f t="shared" si="29"/>
        <v>1.7166021857465095</v>
      </c>
      <c r="O134" s="189">
        <f t="shared" si="30"/>
        <v>0</v>
      </c>
      <c r="P134" s="189">
        <f t="shared" si="31"/>
        <v>0</v>
      </c>
      <c r="Q134" s="189">
        <v>0</v>
      </c>
      <c r="R134" s="190">
        <f t="shared" si="32"/>
        <v>1.7166021857465095</v>
      </c>
    </row>
    <row r="135" spans="1:18" x14ac:dyDescent="0.25">
      <c r="A135" s="147">
        <v>8</v>
      </c>
      <c r="B135" s="182">
        <f t="shared" si="39"/>
        <v>45139</v>
      </c>
      <c r="C135" s="202">
        <f t="shared" si="41"/>
        <v>45174</v>
      </c>
      <c r="D135" s="202">
        <f t="shared" si="41"/>
        <v>45194</v>
      </c>
      <c r="E135" s="52" t="s">
        <v>15</v>
      </c>
      <c r="F135" s="147">
        <v>9</v>
      </c>
      <c r="G135" s="184">
        <v>19</v>
      </c>
      <c r="H135" s="185">
        <f t="shared" si="27"/>
        <v>5.5726951227524033</v>
      </c>
      <c r="I135" s="185">
        <f t="shared" si="43"/>
        <v>5.6947303713270712</v>
      </c>
      <c r="J135" s="186">
        <f t="shared" si="40"/>
        <v>108.19987705521436</v>
      </c>
      <c r="K135" s="193">
        <f t="shared" si="45"/>
        <v>105.88120733229566</v>
      </c>
      <c r="L135" s="192">
        <f t="shared" si="44"/>
        <v>2.318669722918699</v>
      </c>
      <c r="M135" s="189">
        <f t="shared" si="28"/>
        <v>0.19021039471083903</v>
      </c>
      <c r="N135" s="190">
        <f t="shared" si="29"/>
        <v>2.5088801176295381</v>
      </c>
      <c r="O135" s="189">
        <f t="shared" si="30"/>
        <v>0</v>
      </c>
      <c r="P135" s="189">
        <f t="shared" si="31"/>
        <v>0</v>
      </c>
      <c r="Q135" s="189">
        <v>0</v>
      </c>
      <c r="R135" s="190">
        <f t="shared" si="32"/>
        <v>2.5088801176295381</v>
      </c>
    </row>
    <row r="136" spans="1:18" x14ac:dyDescent="0.25">
      <c r="A136" s="147">
        <v>9</v>
      </c>
      <c r="B136" s="182">
        <f t="shared" si="39"/>
        <v>45170</v>
      </c>
      <c r="C136" s="202">
        <f t="shared" si="41"/>
        <v>45203</v>
      </c>
      <c r="D136" s="202">
        <f t="shared" si="41"/>
        <v>45223</v>
      </c>
      <c r="E136" s="52" t="s">
        <v>15</v>
      </c>
      <c r="F136" s="147">
        <v>9</v>
      </c>
      <c r="G136" s="184">
        <v>18</v>
      </c>
      <c r="H136" s="185">
        <f t="shared" si="27"/>
        <v>5.5726951227524033</v>
      </c>
      <c r="I136" s="185">
        <f t="shared" si="43"/>
        <v>5.6947303713270712</v>
      </c>
      <c r="J136" s="186">
        <f t="shared" si="40"/>
        <v>102.50514668388728</v>
      </c>
      <c r="K136" s="193">
        <f t="shared" si="45"/>
        <v>100.30851220954327</v>
      </c>
      <c r="L136" s="192">
        <f t="shared" si="44"/>
        <v>2.1966344743440089</v>
      </c>
      <c r="M136" s="189">
        <f t="shared" si="28"/>
        <v>0.18019932130500538</v>
      </c>
      <c r="N136" s="190">
        <f t="shared" si="29"/>
        <v>2.3768337956490142</v>
      </c>
      <c r="O136" s="189">
        <f t="shared" si="30"/>
        <v>0</v>
      </c>
      <c r="P136" s="189">
        <f t="shared" si="31"/>
        <v>0</v>
      </c>
      <c r="Q136" s="189">
        <v>0</v>
      </c>
      <c r="R136" s="190">
        <f t="shared" si="32"/>
        <v>2.3768337956490142</v>
      </c>
    </row>
    <row r="137" spans="1:18" x14ac:dyDescent="0.25">
      <c r="A137" s="111">
        <v>10</v>
      </c>
      <c r="B137" s="182">
        <f t="shared" si="39"/>
        <v>45200</v>
      </c>
      <c r="C137" s="202">
        <f t="shared" si="41"/>
        <v>45233</v>
      </c>
      <c r="D137" s="202">
        <f t="shared" si="41"/>
        <v>45254</v>
      </c>
      <c r="E137" s="52" t="s">
        <v>15</v>
      </c>
      <c r="F137" s="147">
        <v>9</v>
      </c>
      <c r="G137" s="184">
        <v>6</v>
      </c>
      <c r="H137" s="185">
        <f t="shared" si="27"/>
        <v>5.5726951227524033</v>
      </c>
      <c r="I137" s="185">
        <f t="shared" si="43"/>
        <v>5.6947303713270712</v>
      </c>
      <c r="J137" s="186">
        <f t="shared" si="40"/>
        <v>34.168382227962425</v>
      </c>
      <c r="K137" s="193">
        <f t="shared" si="45"/>
        <v>33.43617073651442</v>
      </c>
      <c r="L137" s="192">
        <f t="shared" si="44"/>
        <v>0.73221149144800535</v>
      </c>
      <c r="M137" s="189">
        <f t="shared" si="28"/>
        <v>6.0066440435001797E-2</v>
      </c>
      <c r="N137" s="190">
        <f t="shared" si="29"/>
        <v>0.7922779318830071</v>
      </c>
      <c r="O137" s="189">
        <f t="shared" si="30"/>
        <v>0</v>
      </c>
      <c r="P137" s="189">
        <f t="shared" si="31"/>
        <v>0</v>
      </c>
      <c r="Q137" s="189">
        <v>0</v>
      </c>
      <c r="R137" s="190">
        <f t="shared" si="32"/>
        <v>0.7922779318830071</v>
      </c>
    </row>
    <row r="138" spans="1:18" x14ac:dyDescent="0.25">
      <c r="A138" s="147">
        <v>11</v>
      </c>
      <c r="B138" s="182">
        <f t="shared" si="39"/>
        <v>45231</v>
      </c>
      <c r="C138" s="202">
        <f t="shared" si="41"/>
        <v>45266</v>
      </c>
      <c r="D138" s="202">
        <f t="shared" si="41"/>
        <v>45285</v>
      </c>
      <c r="E138" s="52" t="s">
        <v>15</v>
      </c>
      <c r="F138" s="147">
        <v>9</v>
      </c>
      <c r="G138" s="184">
        <v>6</v>
      </c>
      <c r="H138" s="185">
        <f t="shared" si="27"/>
        <v>5.5726951227524033</v>
      </c>
      <c r="I138" s="185">
        <f t="shared" si="43"/>
        <v>5.6947303713270712</v>
      </c>
      <c r="J138" s="186">
        <f t="shared" si="40"/>
        <v>34.168382227962425</v>
      </c>
      <c r="K138" s="193">
        <f t="shared" si="45"/>
        <v>33.43617073651442</v>
      </c>
      <c r="L138" s="192">
        <f t="shared" si="44"/>
        <v>0.73221149144800535</v>
      </c>
      <c r="M138" s="189">
        <f t="shared" si="28"/>
        <v>6.0066440435001797E-2</v>
      </c>
      <c r="N138" s="190">
        <f t="shared" si="29"/>
        <v>0.7922779318830071</v>
      </c>
      <c r="O138" s="189">
        <f t="shared" si="30"/>
        <v>0</v>
      </c>
      <c r="P138" s="189">
        <f t="shared" si="31"/>
        <v>0</v>
      </c>
      <c r="Q138" s="189">
        <v>0</v>
      </c>
      <c r="R138" s="190">
        <f t="shared" si="32"/>
        <v>0.7922779318830071</v>
      </c>
    </row>
    <row r="139" spans="1:18" s="206" customFormat="1" x14ac:dyDescent="0.25">
      <c r="A139" s="147">
        <v>12</v>
      </c>
      <c r="B139" s="204">
        <f t="shared" si="39"/>
        <v>45261</v>
      </c>
      <c r="C139" s="202">
        <f t="shared" si="41"/>
        <v>45294</v>
      </c>
      <c r="D139" s="202">
        <f t="shared" si="41"/>
        <v>45315</v>
      </c>
      <c r="E139" s="205" t="s">
        <v>15</v>
      </c>
      <c r="F139" s="158">
        <v>9</v>
      </c>
      <c r="G139" s="184">
        <v>5</v>
      </c>
      <c r="H139" s="194">
        <f t="shared" si="27"/>
        <v>5.5726951227524033</v>
      </c>
      <c r="I139" s="194">
        <f t="shared" si="43"/>
        <v>5.6947303713270712</v>
      </c>
      <c r="J139" s="195">
        <f t="shared" si="40"/>
        <v>28.473651856635357</v>
      </c>
      <c r="K139" s="196">
        <f t="shared" si="45"/>
        <v>27.863475613762017</v>
      </c>
      <c r="L139" s="197">
        <f t="shared" si="44"/>
        <v>0.61017624287334016</v>
      </c>
      <c r="M139" s="189">
        <f t="shared" si="28"/>
        <v>5.0055367029168164E-2</v>
      </c>
      <c r="N139" s="190">
        <f t="shared" si="29"/>
        <v>0.66023160990250829</v>
      </c>
      <c r="O139" s="189">
        <f t="shared" si="30"/>
        <v>0</v>
      </c>
      <c r="P139" s="189">
        <f t="shared" si="31"/>
        <v>0</v>
      </c>
      <c r="Q139" s="189">
        <v>0</v>
      </c>
      <c r="R139" s="190">
        <f t="shared" si="32"/>
        <v>0.66023160990250829</v>
      </c>
    </row>
    <row r="140" spans="1:18" x14ac:dyDescent="0.25">
      <c r="A140" s="111">
        <v>1</v>
      </c>
      <c r="B140" s="182">
        <f t="shared" si="39"/>
        <v>44927</v>
      </c>
      <c r="C140" s="199">
        <f t="shared" ref="C140:D151" si="46">+C128</f>
        <v>44960</v>
      </c>
      <c r="D140" s="199">
        <f t="shared" si="46"/>
        <v>44981</v>
      </c>
      <c r="E140" s="209" t="s">
        <v>16</v>
      </c>
      <c r="F140" s="147">
        <v>9</v>
      </c>
      <c r="G140" s="184">
        <v>4</v>
      </c>
      <c r="H140" s="185">
        <f t="shared" si="27"/>
        <v>5.5726951227524033</v>
      </c>
      <c r="I140" s="185">
        <f t="shared" si="43"/>
        <v>5.6947303713270712</v>
      </c>
      <c r="J140" s="186">
        <f t="shared" si="40"/>
        <v>22.778921485308285</v>
      </c>
      <c r="K140" s="187">
        <f t="shared" si="45"/>
        <v>22.290780491009613</v>
      </c>
      <c r="L140" s="188">
        <f t="shared" si="44"/>
        <v>0.48814099429867142</v>
      </c>
      <c r="M140" s="189">
        <f t="shared" si="28"/>
        <v>4.0044293623334525E-2</v>
      </c>
      <c r="N140" s="190">
        <f t="shared" si="29"/>
        <v>0.52818528792200592</v>
      </c>
      <c r="O140" s="189">
        <f t="shared" si="30"/>
        <v>0</v>
      </c>
      <c r="P140" s="189">
        <f t="shared" si="31"/>
        <v>0</v>
      </c>
      <c r="Q140" s="189">
        <v>0</v>
      </c>
      <c r="R140" s="190">
        <f t="shared" si="32"/>
        <v>0.52818528792200592</v>
      </c>
    </row>
    <row r="141" spans="1:18" x14ac:dyDescent="0.25">
      <c r="A141" s="147">
        <v>2</v>
      </c>
      <c r="B141" s="182">
        <f t="shared" si="39"/>
        <v>44958</v>
      </c>
      <c r="C141" s="202">
        <f t="shared" si="46"/>
        <v>44988</v>
      </c>
      <c r="D141" s="202">
        <f t="shared" si="46"/>
        <v>45009</v>
      </c>
      <c r="E141" s="52" t="s">
        <v>16</v>
      </c>
      <c r="F141" s="147">
        <v>9</v>
      </c>
      <c r="G141" s="184">
        <v>5</v>
      </c>
      <c r="H141" s="185">
        <f t="shared" si="27"/>
        <v>5.5726951227524033</v>
      </c>
      <c r="I141" s="185">
        <f t="shared" si="43"/>
        <v>5.6947303713270712</v>
      </c>
      <c r="J141" s="186">
        <f t="shared" si="40"/>
        <v>28.473651856635357</v>
      </c>
      <c r="K141" s="187">
        <f t="shared" si="45"/>
        <v>27.863475613762017</v>
      </c>
      <c r="L141" s="188">
        <f t="shared" si="44"/>
        <v>0.61017624287334016</v>
      </c>
      <c r="M141" s="189">
        <f t="shared" si="28"/>
        <v>5.0055367029168164E-2</v>
      </c>
      <c r="N141" s="190">
        <f t="shared" si="29"/>
        <v>0.66023160990250829</v>
      </c>
      <c r="O141" s="189">
        <f t="shared" si="30"/>
        <v>0</v>
      </c>
      <c r="P141" s="189">
        <f t="shared" si="31"/>
        <v>0</v>
      </c>
      <c r="Q141" s="189">
        <v>0</v>
      </c>
      <c r="R141" s="190">
        <f t="shared" si="32"/>
        <v>0.66023160990250829</v>
      </c>
    </row>
    <row r="142" spans="1:18" x14ac:dyDescent="0.25">
      <c r="A142" s="147">
        <v>3</v>
      </c>
      <c r="B142" s="182">
        <f t="shared" si="39"/>
        <v>44986</v>
      </c>
      <c r="C142" s="202">
        <f t="shared" si="46"/>
        <v>45021</v>
      </c>
      <c r="D142" s="202">
        <f t="shared" si="46"/>
        <v>45040</v>
      </c>
      <c r="E142" s="52" t="s">
        <v>16</v>
      </c>
      <c r="F142" s="147">
        <v>9</v>
      </c>
      <c r="G142" s="184">
        <v>1</v>
      </c>
      <c r="H142" s="185">
        <f t="shared" si="27"/>
        <v>5.5726951227524033</v>
      </c>
      <c r="I142" s="185">
        <f t="shared" si="43"/>
        <v>5.6947303713270712</v>
      </c>
      <c r="J142" s="186">
        <f t="shared" si="40"/>
        <v>5.6947303713270712</v>
      </c>
      <c r="K142" s="187">
        <f t="shared" si="45"/>
        <v>5.5726951227524033</v>
      </c>
      <c r="L142" s="188">
        <f>+J142-K142</f>
        <v>0.12203524857466785</v>
      </c>
      <c r="M142" s="189">
        <f t="shared" si="28"/>
        <v>1.0011073405833631E-2</v>
      </c>
      <c r="N142" s="190">
        <f t="shared" si="29"/>
        <v>0.13204632198050148</v>
      </c>
      <c r="O142" s="189">
        <f t="shared" si="30"/>
        <v>0</v>
      </c>
      <c r="P142" s="189">
        <f t="shared" si="31"/>
        <v>0</v>
      </c>
      <c r="Q142" s="189">
        <v>0</v>
      </c>
      <c r="R142" s="190">
        <f t="shared" si="32"/>
        <v>0.13204632198050148</v>
      </c>
    </row>
    <row r="143" spans="1:18" x14ac:dyDescent="0.25">
      <c r="A143" s="111">
        <v>4</v>
      </c>
      <c r="B143" s="182">
        <f t="shared" si="39"/>
        <v>45017</v>
      </c>
      <c r="C143" s="202">
        <f t="shared" si="46"/>
        <v>45049</v>
      </c>
      <c r="D143" s="202">
        <f t="shared" si="46"/>
        <v>45070</v>
      </c>
      <c r="E143" s="52" t="s">
        <v>16</v>
      </c>
      <c r="F143" s="147">
        <v>9</v>
      </c>
      <c r="G143" s="184">
        <v>7</v>
      </c>
      <c r="H143" s="185">
        <f t="shared" si="27"/>
        <v>5.5726951227524033</v>
      </c>
      <c r="I143" s="185">
        <f t="shared" si="43"/>
        <v>5.6947303713270712</v>
      </c>
      <c r="J143" s="186">
        <f t="shared" si="40"/>
        <v>39.863112599289501</v>
      </c>
      <c r="K143" s="187">
        <f t="shared" si="45"/>
        <v>39.00886585926682</v>
      </c>
      <c r="L143" s="188">
        <f t="shared" ref="L143:L153" si="47">+J143-K143</f>
        <v>0.85424674002268119</v>
      </c>
      <c r="M143" s="189">
        <f t="shared" si="28"/>
        <v>7.0077513840835437E-2</v>
      </c>
      <c r="N143" s="190">
        <f t="shared" si="29"/>
        <v>0.92432425386351658</v>
      </c>
      <c r="O143" s="189">
        <f t="shared" si="30"/>
        <v>0</v>
      </c>
      <c r="P143" s="189">
        <f t="shared" si="31"/>
        <v>0</v>
      </c>
      <c r="Q143" s="189">
        <v>0</v>
      </c>
      <c r="R143" s="190">
        <f t="shared" si="32"/>
        <v>0.92432425386351658</v>
      </c>
    </row>
    <row r="144" spans="1:18" x14ac:dyDescent="0.25">
      <c r="A144" s="147">
        <v>5</v>
      </c>
      <c r="B144" s="182">
        <f t="shared" si="39"/>
        <v>45047</v>
      </c>
      <c r="C144" s="202">
        <f t="shared" si="46"/>
        <v>45082</v>
      </c>
      <c r="D144" s="202">
        <f t="shared" si="46"/>
        <v>45103</v>
      </c>
      <c r="E144" s="52" t="s">
        <v>16</v>
      </c>
      <c r="F144" s="147">
        <v>9</v>
      </c>
      <c r="G144" s="184">
        <v>3</v>
      </c>
      <c r="H144" s="185">
        <f t="shared" si="27"/>
        <v>5.5726951227524033</v>
      </c>
      <c r="I144" s="185">
        <f t="shared" si="43"/>
        <v>5.6947303713270712</v>
      </c>
      <c r="J144" s="186">
        <f t="shared" si="40"/>
        <v>17.084191113981213</v>
      </c>
      <c r="K144" s="187">
        <f t="shared" si="45"/>
        <v>16.71808536825721</v>
      </c>
      <c r="L144" s="188">
        <f t="shared" si="47"/>
        <v>0.36610574572400267</v>
      </c>
      <c r="M144" s="189">
        <f t="shared" si="28"/>
        <v>3.0033220217500899E-2</v>
      </c>
      <c r="N144" s="190">
        <f t="shared" si="29"/>
        <v>0.39613896594150355</v>
      </c>
      <c r="O144" s="189">
        <f t="shared" si="30"/>
        <v>0</v>
      </c>
      <c r="P144" s="189">
        <f t="shared" si="31"/>
        <v>0</v>
      </c>
      <c r="Q144" s="189">
        <v>0</v>
      </c>
      <c r="R144" s="190">
        <f t="shared" si="32"/>
        <v>0.39613896594150355</v>
      </c>
    </row>
    <row r="145" spans="1:19" x14ac:dyDescent="0.25">
      <c r="A145" s="147">
        <v>6</v>
      </c>
      <c r="B145" s="182">
        <f t="shared" si="39"/>
        <v>45078</v>
      </c>
      <c r="C145" s="202">
        <f t="shared" si="46"/>
        <v>45112</v>
      </c>
      <c r="D145" s="202">
        <f t="shared" si="46"/>
        <v>45131</v>
      </c>
      <c r="E145" s="52" t="s">
        <v>16</v>
      </c>
      <c r="F145" s="147">
        <v>9</v>
      </c>
      <c r="G145" s="184">
        <v>7</v>
      </c>
      <c r="H145" s="185">
        <f t="shared" si="27"/>
        <v>5.5726951227524033</v>
      </c>
      <c r="I145" s="185">
        <f t="shared" si="43"/>
        <v>5.6947303713270712</v>
      </c>
      <c r="J145" s="186">
        <f t="shared" si="40"/>
        <v>39.863112599289501</v>
      </c>
      <c r="K145" s="187">
        <f t="shared" si="45"/>
        <v>39.00886585926682</v>
      </c>
      <c r="L145" s="192">
        <f t="shared" si="47"/>
        <v>0.85424674002268119</v>
      </c>
      <c r="M145" s="189">
        <f t="shared" si="28"/>
        <v>7.0077513840835437E-2</v>
      </c>
      <c r="N145" s="190">
        <f t="shared" si="29"/>
        <v>0.92432425386351658</v>
      </c>
      <c r="O145" s="189">
        <f t="shared" si="30"/>
        <v>0</v>
      </c>
      <c r="P145" s="189">
        <f t="shared" si="31"/>
        <v>0</v>
      </c>
      <c r="Q145" s="189">
        <v>0</v>
      </c>
      <c r="R145" s="190">
        <f t="shared" si="32"/>
        <v>0.92432425386351658</v>
      </c>
    </row>
    <row r="146" spans="1:19" x14ac:dyDescent="0.25">
      <c r="A146" s="111">
        <v>7</v>
      </c>
      <c r="B146" s="182">
        <f t="shared" si="39"/>
        <v>45108</v>
      </c>
      <c r="C146" s="202">
        <f t="shared" si="46"/>
        <v>45141</v>
      </c>
      <c r="D146" s="202">
        <f t="shared" si="46"/>
        <v>45162</v>
      </c>
      <c r="E146" s="52" t="s">
        <v>16</v>
      </c>
      <c r="F146" s="147">
        <v>9</v>
      </c>
      <c r="G146" s="184">
        <v>5</v>
      </c>
      <c r="H146" s="185">
        <f t="shared" si="27"/>
        <v>5.5726951227524033</v>
      </c>
      <c r="I146" s="185">
        <f t="shared" si="43"/>
        <v>5.6947303713270712</v>
      </c>
      <c r="J146" s="186">
        <f t="shared" si="40"/>
        <v>28.473651856635357</v>
      </c>
      <c r="K146" s="193">
        <f t="shared" si="45"/>
        <v>27.863475613762017</v>
      </c>
      <c r="L146" s="192">
        <f t="shared" si="47"/>
        <v>0.61017624287334016</v>
      </c>
      <c r="M146" s="189">
        <f t="shared" si="28"/>
        <v>5.0055367029168164E-2</v>
      </c>
      <c r="N146" s="190">
        <f t="shared" si="29"/>
        <v>0.66023160990250829</v>
      </c>
      <c r="O146" s="189">
        <f t="shared" si="30"/>
        <v>0</v>
      </c>
      <c r="P146" s="189">
        <f t="shared" si="31"/>
        <v>0</v>
      </c>
      <c r="Q146" s="189">
        <v>0</v>
      </c>
      <c r="R146" s="190">
        <f t="shared" si="32"/>
        <v>0.66023160990250829</v>
      </c>
    </row>
    <row r="147" spans="1:19" x14ac:dyDescent="0.25">
      <c r="A147" s="147">
        <v>8</v>
      </c>
      <c r="B147" s="182">
        <f t="shared" si="39"/>
        <v>45139</v>
      </c>
      <c r="C147" s="202">
        <f t="shared" si="46"/>
        <v>45174</v>
      </c>
      <c r="D147" s="202">
        <f t="shared" si="46"/>
        <v>45194</v>
      </c>
      <c r="E147" s="52" t="s">
        <v>16</v>
      </c>
      <c r="F147" s="147">
        <v>9</v>
      </c>
      <c r="G147" s="184">
        <v>5</v>
      </c>
      <c r="H147" s="185">
        <f t="shared" si="27"/>
        <v>5.5726951227524033</v>
      </c>
      <c r="I147" s="185">
        <f t="shared" si="43"/>
        <v>5.6947303713270712</v>
      </c>
      <c r="J147" s="186">
        <f t="shared" si="40"/>
        <v>28.473651856635357</v>
      </c>
      <c r="K147" s="193">
        <f t="shared" si="45"/>
        <v>27.863475613762017</v>
      </c>
      <c r="L147" s="192">
        <f t="shared" si="47"/>
        <v>0.61017624287334016</v>
      </c>
      <c r="M147" s="189">
        <f t="shared" si="28"/>
        <v>5.0055367029168164E-2</v>
      </c>
      <c r="N147" s="190">
        <f t="shared" si="29"/>
        <v>0.66023160990250829</v>
      </c>
      <c r="O147" s="189">
        <f t="shared" si="30"/>
        <v>0</v>
      </c>
      <c r="P147" s="189">
        <f t="shared" si="31"/>
        <v>0</v>
      </c>
      <c r="Q147" s="189">
        <v>0</v>
      </c>
      <c r="R147" s="190">
        <f t="shared" si="32"/>
        <v>0.66023160990250829</v>
      </c>
    </row>
    <row r="148" spans="1:19" x14ac:dyDescent="0.25">
      <c r="A148" s="147">
        <v>9</v>
      </c>
      <c r="B148" s="182">
        <f t="shared" si="39"/>
        <v>45170</v>
      </c>
      <c r="C148" s="202">
        <f t="shared" si="46"/>
        <v>45203</v>
      </c>
      <c r="D148" s="202">
        <f t="shared" si="46"/>
        <v>45223</v>
      </c>
      <c r="E148" s="52" t="s">
        <v>16</v>
      </c>
      <c r="F148" s="147">
        <v>9</v>
      </c>
      <c r="G148" s="184">
        <v>6</v>
      </c>
      <c r="H148" s="185">
        <f t="shared" si="27"/>
        <v>5.5726951227524033</v>
      </c>
      <c r="I148" s="185">
        <f t="shared" ref="I148:I179" si="48">$J$3</f>
        <v>5.6947303713270712</v>
      </c>
      <c r="J148" s="186">
        <f t="shared" si="40"/>
        <v>34.168382227962425</v>
      </c>
      <c r="K148" s="193">
        <f t="shared" si="45"/>
        <v>33.43617073651442</v>
      </c>
      <c r="L148" s="192">
        <f t="shared" si="47"/>
        <v>0.73221149144800535</v>
      </c>
      <c r="M148" s="189">
        <f t="shared" si="28"/>
        <v>6.0066440435001797E-2</v>
      </c>
      <c r="N148" s="190">
        <f t="shared" si="29"/>
        <v>0.7922779318830071</v>
      </c>
      <c r="O148" s="189">
        <f t="shared" si="30"/>
        <v>0</v>
      </c>
      <c r="P148" s="189">
        <f t="shared" si="31"/>
        <v>0</v>
      </c>
      <c r="Q148" s="189">
        <v>0</v>
      </c>
      <c r="R148" s="190">
        <f t="shared" si="32"/>
        <v>0.7922779318830071</v>
      </c>
    </row>
    <row r="149" spans="1:19" x14ac:dyDescent="0.25">
      <c r="A149" s="111">
        <v>10</v>
      </c>
      <c r="B149" s="182">
        <f t="shared" ref="B149:B211" si="49">DATE($R$1,A149,1)</f>
        <v>45200</v>
      </c>
      <c r="C149" s="202">
        <f t="shared" si="46"/>
        <v>45233</v>
      </c>
      <c r="D149" s="202">
        <f t="shared" si="46"/>
        <v>45254</v>
      </c>
      <c r="E149" s="52" t="s">
        <v>16</v>
      </c>
      <c r="F149" s="147">
        <v>9</v>
      </c>
      <c r="G149" s="184">
        <v>5</v>
      </c>
      <c r="H149" s="185">
        <f t="shared" ref="H149:H211" si="50">+$K$3</f>
        <v>5.5726951227524033</v>
      </c>
      <c r="I149" s="185">
        <f t="shared" si="48"/>
        <v>5.6947303713270712</v>
      </c>
      <c r="J149" s="186">
        <f t="shared" ref="J149:J211" si="51">+$G149*I149</f>
        <v>28.473651856635357</v>
      </c>
      <c r="K149" s="193">
        <f t="shared" si="45"/>
        <v>27.863475613762017</v>
      </c>
      <c r="L149" s="192">
        <f t="shared" si="47"/>
        <v>0.61017624287334016</v>
      </c>
      <c r="M149" s="189">
        <f t="shared" ref="M149:M211" si="52">G149/$G$212*$M$14</f>
        <v>5.0055367029168164E-2</v>
      </c>
      <c r="N149" s="190">
        <f t="shared" ref="N149:N211" si="53">SUM(L149:M149)</f>
        <v>0.66023160990250829</v>
      </c>
      <c r="O149" s="189">
        <f t="shared" ref="O149:O211" si="54">+$P$3</f>
        <v>0</v>
      </c>
      <c r="P149" s="189">
        <f t="shared" ref="P149:P211" si="55">+G149*O149</f>
        <v>0</v>
      </c>
      <c r="Q149" s="189">
        <v>0</v>
      </c>
      <c r="R149" s="190">
        <f t="shared" ref="R149:R211" si="56">+N149-Q149</f>
        <v>0.66023160990250829</v>
      </c>
    </row>
    <row r="150" spans="1:19" x14ac:dyDescent="0.25">
      <c r="A150" s="147">
        <v>11</v>
      </c>
      <c r="B150" s="182">
        <f t="shared" si="49"/>
        <v>45231</v>
      </c>
      <c r="C150" s="202">
        <f t="shared" si="46"/>
        <v>45266</v>
      </c>
      <c r="D150" s="202">
        <f t="shared" si="46"/>
        <v>45285</v>
      </c>
      <c r="E150" s="52" t="s">
        <v>16</v>
      </c>
      <c r="F150" s="147">
        <v>9</v>
      </c>
      <c r="G150" s="184">
        <v>4</v>
      </c>
      <c r="H150" s="185">
        <f t="shared" si="50"/>
        <v>5.5726951227524033</v>
      </c>
      <c r="I150" s="185">
        <f t="shared" si="48"/>
        <v>5.6947303713270712</v>
      </c>
      <c r="J150" s="186">
        <f t="shared" si="51"/>
        <v>22.778921485308285</v>
      </c>
      <c r="K150" s="193">
        <f t="shared" si="45"/>
        <v>22.290780491009613</v>
      </c>
      <c r="L150" s="192">
        <f t="shared" si="47"/>
        <v>0.48814099429867142</v>
      </c>
      <c r="M150" s="189">
        <f t="shared" si="52"/>
        <v>4.0044293623334525E-2</v>
      </c>
      <c r="N150" s="190">
        <f t="shared" si="53"/>
        <v>0.52818528792200592</v>
      </c>
      <c r="O150" s="189">
        <f t="shared" si="54"/>
        <v>0</v>
      </c>
      <c r="P150" s="189">
        <f t="shared" si="55"/>
        <v>0</v>
      </c>
      <c r="Q150" s="189">
        <v>0</v>
      </c>
      <c r="R150" s="190">
        <f t="shared" si="56"/>
        <v>0.52818528792200592</v>
      </c>
    </row>
    <row r="151" spans="1:19" s="206" customFormat="1" x14ac:dyDescent="0.25">
      <c r="A151" s="147">
        <v>12</v>
      </c>
      <c r="B151" s="204">
        <f t="shared" si="49"/>
        <v>45261</v>
      </c>
      <c r="C151" s="202">
        <f t="shared" si="46"/>
        <v>45294</v>
      </c>
      <c r="D151" s="202">
        <f t="shared" si="46"/>
        <v>45315</v>
      </c>
      <c r="E151" s="205" t="s">
        <v>16</v>
      </c>
      <c r="F151" s="158">
        <v>9</v>
      </c>
      <c r="G151" s="184">
        <v>4</v>
      </c>
      <c r="H151" s="194">
        <f t="shared" si="50"/>
        <v>5.5726951227524033</v>
      </c>
      <c r="I151" s="194">
        <f t="shared" si="48"/>
        <v>5.6947303713270712</v>
      </c>
      <c r="J151" s="195">
        <f t="shared" si="51"/>
        <v>22.778921485308285</v>
      </c>
      <c r="K151" s="196">
        <f t="shared" si="45"/>
        <v>22.290780491009613</v>
      </c>
      <c r="L151" s="197">
        <f t="shared" si="47"/>
        <v>0.48814099429867142</v>
      </c>
      <c r="M151" s="189">
        <f t="shared" si="52"/>
        <v>4.0044293623334525E-2</v>
      </c>
      <c r="N151" s="190">
        <f t="shared" si="53"/>
        <v>0.52818528792200592</v>
      </c>
      <c r="O151" s="189">
        <f t="shared" si="54"/>
        <v>0</v>
      </c>
      <c r="P151" s="189">
        <f t="shared" si="55"/>
        <v>0</v>
      </c>
      <c r="Q151" s="189">
        <v>0</v>
      </c>
      <c r="R151" s="190">
        <f t="shared" si="56"/>
        <v>0.52818528792200592</v>
      </c>
    </row>
    <row r="152" spans="1:19" x14ac:dyDescent="0.25">
      <c r="A152" s="111">
        <v>1</v>
      </c>
      <c r="B152" s="182">
        <f t="shared" si="49"/>
        <v>44927</v>
      </c>
      <c r="C152" s="199">
        <f t="shared" ref="C152:D171" si="57">+C140</f>
        <v>44960</v>
      </c>
      <c r="D152" s="199">
        <f t="shared" si="57"/>
        <v>44981</v>
      </c>
      <c r="E152" s="209" t="s">
        <v>55</v>
      </c>
      <c r="F152" s="111">
        <v>9</v>
      </c>
      <c r="G152" s="184">
        <v>113</v>
      </c>
      <c r="H152" s="185">
        <f t="shared" si="50"/>
        <v>5.5726951227524033</v>
      </c>
      <c r="I152" s="185">
        <f t="shared" si="48"/>
        <v>5.6947303713270712</v>
      </c>
      <c r="J152" s="186">
        <f t="shared" si="51"/>
        <v>643.50453195995908</v>
      </c>
      <c r="K152" s="187">
        <f t="shared" si="45"/>
        <v>629.71454887102152</v>
      </c>
      <c r="L152" s="188">
        <f t="shared" si="47"/>
        <v>13.789983088937561</v>
      </c>
      <c r="M152" s="189">
        <f t="shared" si="52"/>
        <v>1.1312512948592004</v>
      </c>
      <c r="N152" s="190">
        <f t="shared" si="53"/>
        <v>14.921234383796762</v>
      </c>
      <c r="O152" s="189">
        <f t="shared" si="54"/>
        <v>0</v>
      </c>
      <c r="P152" s="189">
        <f t="shared" si="55"/>
        <v>0</v>
      </c>
      <c r="Q152" s="189">
        <v>0</v>
      </c>
      <c r="R152" s="190">
        <f t="shared" si="56"/>
        <v>14.921234383796762</v>
      </c>
    </row>
    <row r="153" spans="1:19" x14ac:dyDescent="0.25">
      <c r="A153" s="147">
        <v>2</v>
      </c>
      <c r="B153" s="182">
        <f t="shared" si="49"/>
        <v>44958</v>
      </c>
      <c r="C153" s="202">
        <f t="shared" si="57"/>
        <v>44988</v>
      </c>
      <c r="D153" s="202">
        <f t="shared" si="57"/>
        <v>45009</v>
      </c>
      <c r="E153" s="210" t="s">
        <v>55</v>
      </c>
      <c r="F153" s="147">
        <v>9</v>
      </c>
      <c r="G153" s="184">
        <v>108</v>
      </c>
      <c r="H153" s="185">
        <f t="shared" si="50"/>
        <v>5.5726951227524033</v>
      </c>
      <c r="I153" s="185">
        <f t="shared" si="48"/>
        <v>5.6947303713270712</v>
      </c>
      <c r="J153" s="186">
        <f t="shared" si="51"/>
        <v>615.03088010332374</v>
      </c>
      <c r="K153" s="187">
        <f t="shared" si="45"/>
        <v>601.8510732572596</v>
      </c>
      <c r="L153" s="188">
        <f t="shared" si="47"/>
        <v>13.179806846064139</v>
      </c>
      <c r="M153" s="189">
        <f t="shared" si="52"/>
        <v>1.0811959278300325</v>
      </c>
      <c r="N153" s="190">
        <f t="shared" si="53"/>
        <v>14.261002773894171</v>
      </c>
      <c r="O153" s="189">
        <f t="shared" si="54"/>
        <v>0</v>
      </c>
      <c r="P153" s="189">
        <f t="shared" si="55"/>
        <v>0</v>
      </c>
      <c r="Q153" s="189">
        <v>0</v>
      </c>
      <c r="R153" s="190">
        <f t="shared" si="56"/>
        <v>14.261002773894171</v>
      </c>
    </row>
    <row r="154" spans="1:19" x14ac:dyDescent="0.25">
      <c r="A154" s="147">
        <v>3</v>
      </c>
      <c r="B154" s="182">
        <f t="shared" si="49"/>
        <v>44986</v>
      </c>
      <c r="C154" s="202">
        <f t="shared" si="57"/>
        <v>45021</v>
      </c>
      <c r="D154" s="202">
        <f t="shared" si="57"/>
        <v>45040</v>
      </c>
      <c r="E154" s="210" t="s">
        <v>55</v>
      </c>
      <c r="F154" s="147">
        <v>9</v>
      </c>
      <c r="G154" s="184">
        <v>96</v>
      </c>
      <c r="H154" s="185">
        <f t="shared" si="50"/>
        <v>5.5726951227524033</v>
      </c>
      <c r="I154" s="185">
        <f t="shared" si="48"/>
        <v>5.6947303713270712</v>
      </c>
      <c r="J154" s="186">
        <f t="shared" si="51"/>
        <v>546.6941156473988</v>
      </c>
      <c r="K154" s="187">
        <f t="shared" si="45"/>
        <v>534.97873178423072</v>
      </c>
      <c r="L154" s="188">
        <f>+J154-K154</f>
        <v>11.715383863168086</v>
      </c>
      <c r="M154" s="189">
        <f t="shared" si="52"/>
        <v>0.96106304696002876</v>
      </c>
      <c r="N154" s="190">
        <f t="shared" si="53"/>
        <v>12.676446910128114</v>
      </c>
      <c r="O154" s="189">
        <f t="shared" si="54"/>
        <v>0</v>
      </c>
      <c r="P154" s="189">
        <f t="shared" si="55"/>
        <v>0</v>
      </c>
      <c r="Q154" s="189">
        <v>0</v>
      </c>
      <c r="R154" s="190">
        <f t="shared" si="56"/>
        <v>12.676446910128114</v>
      </c>
    </row>
    <row r="155" spans="1:19" x14ac:dyDescent="0.25">
      <c r="A155" s="111">
        <v>4</v>
      </c>
      <c r="B155" s="182">
        <f t="shared" si="49"/>
        <v>45017</v>
      </c>
      <c r="C155" s="202">
        <f t="shared" si="57"/>
        <v>45049</v>
      </c>
      <c r="D155" s="202">
        <f t="shared" si="57"/>
        <v>45070</v>
      </c>
      <c r="E155" s="210" t="s">
        <v>55</v>
      </c>
      <c r="F155" s="147">
        <v>9</v>
      </c>
      <c r="G155" s="184">
        <v>91</v>
      </c>
      <c r="H155" s="185">
        <f t="shared" si="50"/>
        <v>5.5726951227524033</v>
      </c>
      <c r="I155" s="185">
        <f t="shared" si="48"/>
        <v>5.6947303713270712</v>
      </c>
      <c r="J155" s="186">
        <f t="shared" si="51"/>
        <v>518.22046379076346</v>
      </c>
      <c r="K155" s="187">
        <f t="shared" si="45"/>
        <v>507.11525617046868</v>
      </c>
      <c r="L155" s="188">
        <f t="shared" ref="L155:L165" si="58">+J155-K155</f>
        <v>11.105207620294777</v>
      </c>
      <c r="M155" s="189">
        <f t="shared" si="52"/>
        <v>0.91100767993086063</v>
      </c>
      <c r="N155" s="190">
        <f t="shared" si="53"/>
        <v>12.016215300225639</v>
      </c>
      <c r="O155" s="189">
        <f t="shared" si="54"/>
        <v>0</v>
      </c>
      <c r="P155" s="189">
        <f t="shared" si="55"/>
        <v>0</v>
      </c>
      <c r="Q155" s="189">
        <v>0</v>
      </c>
      <c r="R155" s="190">
        <f t="shared" si="56"/>
        <v>12.016215300225639</v>
      </c>
    </row>
    <row r="156" spans="1:19" x14ac:dyDescent="0.25">
      <c r="A156" s="147">
        <v>5</v>
      </c>
      <c r="B156" s="182">
        <f t="shared" si="49"/>
        <v>45047</v>
      </c>
      <c r="C156" s="202">
        <f t="shared" si="57"/>
        <v>45082</v>
      </c>
      <c r="D156" s="202">
        <f t="shared" si="57"/>
        <v>45103</v>
      </c>
      <c r="E156" s="210" t="s">
        <v>55</v>
      </c>
      <c r="F156" s="147">
        <v>9</v>
      </c>
      <c r="G156" s="184">
        <v>125</v>
      </c>
      <c r="H156" s="185">
        <f t="shared" si="50"/>
        <v>5.5726951227524033</v>
      </c>
      <c r="I156" s="185">
        <f t="shared" si="48"/>
        <v>5.6947303713270712</v>
      </c>
      <c r="J156" s="186">
        <f t="shared" si="51"/>
        <v>711.8412964158839</v>
      </c>
      <c r="K156" s="187">
        <f t="shared" si="45"/>
        <v>696.5868903440504</v>
      </c>
      <c r="L156" s="188">
        <f t="shared" si="58"/>
        <v>15.2544060718335</v>
      </c>
      <c r="M156" s="189">
        <f t="shared" si="52"/>
        <v>1.2513841757292041</v>
      </c>
      <c r="N156" s="190">
        <f t="shared" si="53"/>
        <v>16.505790247562704</v>
      </c>
      <c r="O156" s="189">
        <f t="shared" si="54"/>
        <v>0</v>
      </c>
      <c r="P156" s="189">
        <f t="shared" si="55"/>
        <v>0</v>
      </c>
      <c r="Q156" s="189">
        <v>0</v>
      </c>
      <c r="R156" s="190">
        <f t="shared" si="56"/>
        <v>16.505790247562704</v>
      </c>
    </row>
    <row r="157" spans="1:19" x14ac:dyDescent="0.25">
      <c r="A157" s="147">
        <v>6</v>
      </c>
      <c r="B157" s="182">
        <f t="shared" si="49"/>
        <v>45078</v>
      </c>
      <c r="C157" s="202">
        <f t="shared" si="57"/>
        <v>45112</v>
      </c>
      <c r="D157" s="202">
        <f t="shared" si="57"/>
        <v>45131</v>
      </c>
      <c r="E157" s="210" t="s">
        <v>55</v>
      </c>
      <c r="F157" s="147">
        <v>9</v>
      </c>
      <c r="G157" s="184">
        <v>167</v>
      </c>
      <c r="H157" s="185">
        <f t="shared" si="50"/>
        <v>5.5726951227524033</v>
      </c>
      <c r="I157" s="185">
        <f t="shared" si="48"/>
        <v>5.6947303713270712</v>
      </c>
      <c r="J157" s="186">
        <f t="shared" si="51"/>
        <v>951.01997201162089</v>
      </c>
      <c r="K157" s="187">
        <f t="shared" si="45"/>
        <v>930.64008549965138</v>
      </c>
      <c r="L157" s="192">
        <f t="shared" si="58"/>
        <v>20.379886511969517</v>
      </c>
      <c r="M157" s="189">
        <f t="shared" si="52"/>
        <v>1.6718492587742166</v>
      </c>
      <c r="N157" s="190">
        <f t="shared" si="53"/>
        <v>22.051735770743733</v>
      </c>
      <c r="O157" s="189">
        <f t="shared" si="54"/>
        <v>0</v>
      </c>
      <c r="P157" s="189">
        <f t="shared" si="55"/>
        <v>0</v>
      </c>
      <c r="Q157" s="189">
        <v>0</v>
      </c>
      <c r="R157" s="190">
        <f t="shared" si="56"/>
        <v>22.051735770743733</v>
      </c>
    </row>
    <row r="158" spans="1:19" x14ac:dyDescent="0.25">
      <c r="A158" s="111">
        <v>7</v>
      </c>
      <c r="B158" s="182">
        <f t="shared" si="49"/>
        <v>45108</v>
      </c>
      <c r="C158" s="202">
        <f t="shared" si="57"/>
        <v>45141</v>
      </c>
      <c r="D158" s="202">
        <f t="shared" si="57"/>
        <v>45162</v>
      </c>
      <c r="E158" s="210" t="s">
        <v>55</v>
      </c>
      <c r="F158" s="147">
        <v>9</v>
      </c>
      <c r="G158" s="184">
        <v>160</v>
      </c>
      <c r="H158" s="185">
        <f t="shared" si="50"/>
        <v>5.5726951227524033</v>
      </c>
      <c r="I158" s="185">
        <f t="shared" si="48"/>
        <v>5.6947303713270712</v>
      </c>
      <c r="J158" s="186">
        <f t="shared" si="51"/>
        <v>911.15685941233141</v>
      </c>
      <c r="K158" s="193">
        <f t="shared" si="45"/>
        <v>891.63121964038453</v>
      </c>
      <c r="L158" s="192">
        <f t="shared" si="58"/>
        <v>19.525639771946885</v>
      </c>
      <c r="M158" s="189">
        <f t="shared" si="52"/>
        <v>1.6017717449333813</v>
      </c>
      <c r="N158" s="190">
        <f t="shared" si="53"/>
        <v>21.127411516880265</v>
      </c>
      <c r="O158" s="189">
        <f t="shared" si="54"/>
        <v>0</v>
      </c>
      <c r="P158" s="189">
        <f t="shared" si="55"/>
        <v>0</v>
      </c>
      <c r="Q158" s="189">
        <v>0</v>
      </c>
      <c r="R158" s="190">
        <f t="shared" si="56"/>
        <v>21.127411516880265</v>
      </c>
    </row>
    <row r="159" spans="1:19" x14ac:dyDescent="0.25">
      <c r="A159" s="147">
        <v>8</v>
      </c>
      <c r="B159" s="182">
        <f t="shared" si="49"/>
        <v>45139</v>
      </c>
      <c r="C159" s="202">
        <f t="shared" si="57"/>
        <v>45174</v>
      </c>
      <c r="D159" s="202">
        <f t="shared" si="57"/>
        <v>45194</v>
      </c>
      <c r="E159" s="210" t="s">
        <v>55</v>
      </c>
      <c r="F159" s="111">
        <v>9</v>
      </c>
      <c r="G159" s="184">
        <v>181</v>
      </c>
      <c r="H159" s="185">
        <f t="shared" si="50"/>
        <v>5.5726951227524033</v>
      </c>
      <c r="I159" s="185">
        <f t="shared" si="48"/>
        <v>5.6947303713270712</v>
      </c>
      <c r="J159" s="186">
        <f t="shared" si="51"/>
        <v>1030.7461972101999</v>
      </c>
      <c r="K159" s="193">
        <f t="shared" si="45"/>
        <v>1008.657817218185</v>
      </c>
      <c r="L159" s="192">
        <f t="shared" si="58"/>
        <v>22.088379992014893</v>
      </c>
      <c r="M159" s="189">
        <f t="shared" si="52"/>
        <v>1.8120042864558874</v>
      </c>
      <c r="N159" s="190">
        <f t="shared" si="53"/>
        <v>23.900384278470781</v>
      </c>
      <c r="O159" s="189">
        <f t="shared" si="54"/>
        <v>0</v>
      </c>
      <c r="P159" s="189">
        <f t="shared" si="55"/>
        <v>0</v>
      </c>
      <c r="Q159" s="189">
        <v>0</v>
      </c>
      <c r="R159" s="190">
        <f t="shared" si="56"/>
        <v>23.900384278470781</v>
      </c>
      <c r="S159" s="50"/>
    </row>
    <row r="160" spans="1:19" x14ac:dyDescent="0.25">
      <c r="A160" s="147">
        <v>9</v>
      </c>
      <c r="B160" s="182">
        <f t="shared" si="49"/>
        <v>45170</v>
      </c>
      <c r="C160" s="202">
        <f t="shared" si="57"/>
        <v>45203</v>
      </c>
      <c r="D160" s="202">
        <f t="shared" si="57"/>
        <v>45223</v>
      </c>
      <c r="E160" s="210" t="s">
        <v>55</v>
      </c>
      <c r="F160" s="111">
        <v>9</v>
      </c>
      <c r="G160" s="184">
        <v>157</v>
      </c>
      <c r="H160" s="185">
        <f t="shared" si="50"/>
        <v>5.5726951227524033</v>
      </c>
      <c r="I160" s="185">
        <f t="shared" si="48"/>
        <v>5.6947303713270712</v>
      </c>
      <c r="J160" s="186">
        <f t="shared" si="51"/>
        <v>894.07266829835021</v>
      </c>
      <c r="K160" s="193">
        <f t="shared" si="45"/>
        <v>874.91313427212731</v>
      </c>
      <c r="L160" s="192">
        <f t="shared" si="58"/>
        <v>19.1595340262229</v>
      </c>
      <c r="M160" s="189">
        <f t="shared" si="52"/>
        <v>1.5717385247158804</v>
      </c>
      <c r="N160" s="190">
        <f t="shared" si="53"/>
        <v>20.73127255093878</v>
      </c>
      <c r="O160" s="189">
        <f t="shared" si="54"/>
        <v>0</v>
      </c>
      <c r="P160" s="189">
        <f t="shared" si="55"/>
        <v>0</v>
      </c>
      <c r="Q160" s="189">
        <v>0</v>
      </c>
      <c r="R160" s="190">
        <f t="shared" si="56"/>
        <v>20.73127255093878</v>
      </c>
    </row>
    <row r="161" spans="1:19" x14ac:dyDescent="0.25">
      <c r="A161" s="111">
        <v>10</v>
      </c>
      <c r="B161" s="182">
        <f t="shared" si="49"/>
        <v>45200</v>
      </c>
      <c r="C161" s="202">
        <f t="shared" si="57"/>
        <v>45233</v>
      </c>
      <c r="D161" s="202">
        <f t="shared" si="57"/>
        <v>45254</v>
      </c>
      <c r="E161" s="210" t="s">
        <v>55</v>
      </c>
      <c r="F161" s="111">
        <v>9</v>
      </c>
      <c r="G161" s="184">
        <v>118</v>
      </c>
      <c r="H161" s="185">
        <f t="shared" si="50"/>
        <v>5.5726951227524033</v>
      </c>
      <c r="I161" s="185">
        <f t="shared" si="48"/>
        <v>5.6947303713270712</v>
      </c>
      <c r="J161" s="186">
        <f t="shared" si="51"/>
        <v>671.97818381659442</v>
      </c>
      <c r="K161" s="193">
        <f t="shared" si="45"/>
        <v>657.57802448478355</v>
      </c>
      <c r="L161" s="192">
        <f t="shared" si="58"/>
        <v>14.400159331810869</v>
      </c>
      <c r="M161" s="189">
        <f t="shared" si="52"/>
        <v>1.1813066618883687</v>
      </c>
      <c r="N161" s="190">
        <f t="shared" si="53"/>
        <v>15.581465993699238</v>
      </c>
      <c r="O161" s="189">
        <f t="shared" si="54"/>
        <v>0</v>
      </c>
      <c r="P161" s="189">
        <f t="shared" si="55"/>
        <v>0</v>
      </c>
      <c r="Q161" s="189">
        <v>0</v>
      </c>
      <c r="R161" s="190">
        <f t="shared" si="56"/>
        <v>15.581465993699238</v>
      </c>
    </row>
    <row r="162" spans="1:19" x14ac:dyDescent="0.25">
      <c r="A162" s="147">
        <v>11</v>
      </c>
      <c r="B162" s="182">
        <f t="shared" si="49"/>
        <v>45231</v>
      </c>
      <c r="C162" s="202">
        <f t="shared" si="57"/>
        <v>45266</v>
      </c>
      <c r="D162" s="202">
        <f t="shared" si="57"/>
        <v>45285</v>
      </c>
      <c r="E162" s="210" t="s">
        <v>55</v>
      </c>
      <c r="F162" s="111">
        <v>9</v>
      </c>
      <c r="G162" s="184">
        <v>102</v>
      </c>
      <c r="H162" s="185">
        <f t="shared" si="50"/>
        <v>5.5726951227524033</v>
      </c>
      <c r="I162" s="185">
        <f t="shared" si="48"/>
        <v>5.6947303713270712</v>
      </c>
      <c r="J162" s="186">
        <f t="shared" si="51"/>
        <v>580.86249787536121</v>
      </c>
      <c r="K162" s="193">
        <f t="shared" si="45"/>
        <v>568.41490252074516</v>
      </c>
      <c r="L162" s="192">
        <f t="shared" si="58"/>
        <v>12.447595354616055</v>
      </c>
      <c r="M162" s="189">
        <f t="shared" si="52"/>
        <v>1.0211294873950305</v>
      </c>
      <c r="N162" s="190">
        <f t="shared" si="53"/>
        <v>13.468724842011087</v>
      </c>
      <c r="O162" s="189">
        <f t="shared" si="54"/>
        <v>0</v>
      </c>
      <c r="P162" s="189">
        <f t="shared" si="55"/>
        <v>0</v>
      </c>
      <c r="Q162" s="189">
        <v>0</v>
      </c>
      <c r="R162" s="190">
        <f t="shared" si="56"/>
        <v>13.468724842011087</v>
      </c>
    </row>
    <row r="163" spans="1:19" s="206" customFormat="1" x14ac:dyDescent="0.25">
      <c r="A163" s="147">
        <v>12</v>
      </c>
      <c r="B163" s="204">
        <f t="shared" si="49"/>
        <v>45261</v>
      </c>
      <c r="C163" s="202">
        <f t="shared" si="57"/>
        <v>45294</v>
      </c>
      <c r="D163" s="202">
        <f t="shared" si="57"/>
        <v>45315</v>
      </c>
      <c r="E163" s="211" t="s">
        <v>55</v>
      </c>
      <c r="F163" s="158">
        <v>9</v>
      </c>
      <c r="G163" s="184">
        <v>99</v>
      </c>
      <c r="H163" s="194">
        <f t="shared" si="50"/>
        <v>5.5726951227524033</v>
      </c>
      <c r="I163" s="194">
        <f t="shared" si="48"/>
        <v>5.6947303713270712</v>
      </c>
      <c r="J163" s="195">
        <f t="shared" si="51"/>
        <v>563.77830676138001</v>
      </c>
      <c r="K163" s="196">
        <f t="shared" si="45"/>
        <v>551.69681715248794</v>
      </c>
      <c r="L163" s="197">
        <f t="shared" si="58"/>
        <v>12.08148960889207</v>
      </c>
      <c r="M163" s="189">
        <f t="shared" si="52"/>
        <v>0.99109626717752974</v>
      </c>
      <c r="N163" s="190">
        <f t="shared" si="53"/>
        <v>13.072585876069601</v>
      </c>
      <c r="O163" s="189">
        <f t="shared" si="54"/>
        <v>0</v>
      </c>
      <c r="P163" s="189">
        <f t="shared" si="55"/>
        <v>0</v>
      </c>
      <c r="Q163" s="189">
        <v>0</v>
      </c>
      <c r="R163" s="190">
        <f t="shared" si="56"/>
        <v>13.072585876069601</v>
      </c>
    </row>
    <row r="164" spans="1:19" x14ac:dyDescent="0.25">
      <c r="A164" s="111">
        <v>1</v>
      </c>
      <c r="B164" s="182">
        <f t="shared" si="49"/>
        <v>44927</v>
      </c>
      <c r="C164" s="199">
        <f t="shared" si="57"/>
        <v>44960</v>
      </c>
      <c r="D164" s="199">
        <f t="shared" si="57"/>
        <v>44981</v>
      </c>
      <c r="E164" s="209" t="s">
        <v>56</v>
      </c>
      <c r="F164" s="111">
        <v>9</v>
      </c>
      <c r="G164" s="184">
        <v>7</v>
      </c>
      <c r="H164" s="185">
        <f t="shared" si="50"/>
        <v>5.5726951227524033</v>
      </c>
      <c r="I164" s="185">
        <f t="shared" si="48"/>
        <v>5.6947303713270712</v>
      </c>
      <c r="J164" s="186">
        <f t="shared" si="51"/>
        <v>39.863112599289501</v>
      </c>
      <c r="K164" s="187">
        <f t="shared" si="45"/>
        <v>39.00886585926682</v>
      </c>
      <c r="L164" s="188">
        <f t="shared" si="58"/>
        <v>0.85424674002268119</v>
      </c>
      <c r="M164" s="189">
        <f t="shared" si="52"/>
        <v>7.0077513840835437E-2</v>
      </c>
      <c r="N164" s="190">
        <f t="shared" si="53"/>
        <v>0.92432425386351658</v>
      </c>
      <c r="O164" s="189">
        <f t="shared" si="54"/>
        <v>0</v>
      </c>
      <c r="P164" s="189">
        <f t="shared" si="55"/>
        <v>0</v>
      </c>
      <c r="Q164" s="189">
        <v>0</v>
      </c>
      <c r="R164" s="190">
        <f t="shared" si="56"/>
        <v>0.92432425386351658</v>
      </c>
    </row>
    <row r="165" spans="1:19" x14ac:dyDescent="0.25">
      <c r="A165" s="147">
        <v>2</v>
      </c>
      <c r="B165" s="182">
        <f t="shared" si="49"/>
        <v>44958</v>
      </c>
      <c r="C165" s="202">
        <f t="shared" si="57"/>
        <v>44988</v>
      </c>
      <c r="D165" s="202">
        <f t="shared" si="57"/>
        <v>45009</v>
      </c>
      <c r="E165" s="210" t="s">
        <v>56</v>
      </c>
      <c r="F165" s="147">
        <v>9</v>
      </c>
      <c r="G165" s="184">
        <v>10</v>
      </c>
      <c r="H165" s="185">
        <f t="shared" si="50"/>
        <v>5.5726951227524033</v>
      </c>
      <c r="I165" s="185">
        <f t="shared" si="48"/>
        <v>5.6947303713270712</v>
      </c>
      <c r="J165" s="186">
        <f t="shared" si="51"/>
        <v>56.947303713270713</v>
      </c>
      <c r="K165" s="187">
        <f t="shared" si="45"/>
        <v>55.726951227524033</v>
      </c>
      <c r="L165" s="188">
        <f t="shared" si="58"/>
        <v>1.2203524857466803</v>
      </c>
      <c r="M165" s="189">
        <f t="shared" si="52"/>
        <v>0.10011073405833633</v>
      </c>
      <c r="N165" s="190">
        <f t="shared" si="53"/>
        <v>1.3204632198050166</v>
      </c>
      <c r="O165" s="189">
        <f t="shared" si="54"/>
        <v>0</v>
      </c>
      <c r="P165" s="189">
        <f t="shared" si="55"/>
        <v>0</v>
      </c>
      <c r="Q165" s="189">
        <v>0</v>
      </c>
      <c r="R165" s="190">
        <f t="shared" si="56"/>
        <v>1.3204632198050166</v>
      </c>
    </row>
    <row r="166" spans="1:19" x14ac:dyDescent="0.25">
      <c r="A166" s="147">
        <v>3</v>
      </c>
      <c r="B166" s="182">
        <f t="shared" si="49"/>
        <v>44986</v>
      </c>
      <c r="C166" s="202">
        <f t="shared" si="57"/>
        <v>45021</v>
      </c>
      <c r="D166" s="202">
        <f t="shared" si="57"/>
        <v>45040</v>
      </c>
      <c r="E166" s="210" t="s">
        <v>56</v>
      </c>
      <c r="F166" s="147">
        <v>9</v>
      </c>
      <c r="G166" s="184">
        <v>8</v>
      </c>
      <c r="H166" s="185">
        <f t="shared" si="50"/>
        <v>5.5726951227524033</v>
      </c>
      <c r="I166" s="185">
        <f t="shared" si="48"/>
        <v>5.6947303713270712</v>
      </c>
      <c r="J166" s="186">
        <f t="shared" si="51"/>
        <v>45.557842970616569</v>
      </c>
      <c r="K166" s="187">
        <f t="shared" si="45"/>
        <v>44.581560982019226</v>
      </c>
      <c r="L166" s="188">
        <f>+J166-K166</f>
        <v>0.97628198859734283</v>
      </c>
      <c r="M166" s="189">
        <f t="shared" si="52"/>
        <v>8.0088587246669049E-2</v>
      </c>
      <c r="N166" s="190">
        <f t="shared" si="53"/>
        <v>1.0563705758440118</v>
      </c>
      <c r="O166" s="189">
        <f t="shared" si="54"/>
        <v>0</v>
      </c>
      <c r="P166" s="189">
        <f t="shared" si="55"/>
        <v>0</v>
      </c>
      <c r="Q166" s="189">
        <v>0</v>
      </c>
      <c r="R166" s="190">
        <f t="shared" si="56"/>
        <v>1.0563705758440118</v>
      </c>
    </row>
    <row r="167" spans="1:19" x14ac:dyDescent="0.25">
      <c r="A167" s="111">
        <v>4</v>
      </c>
      <c r="B167" s="182">
        <f t="shared" si="49"/>
        <v>45017</v>
      </c>
      <c r="C167" s="202">
        <f t="shared" si="57"/>
        <v>45049</v>
      </c>
      <c r="D167" s="202">
        <f t="shared" si="57"/>
        <v>45070</v>
      </c>
      <c r="E167" s="210" t="s">
        <v>56</v>
      </c>
      <c r="F167" s="147">
        <v>9</v>
      </c>
      <c r="G167" s="184">
        <v>8</v>
      </c>
      <c r="H167" s="185">
        <f t="shared" si="50"/>
        <v>5.5726951227524033</v>
      </c>
      <c r="I167" s="185">
        <f t="shared" si="48"/>
        <v>5.6947303713270712</v>
      </c>
      <c r="J167" s="186">
        <f t="shared" si="51"/>
        <v>45.557842970616569</v>
      </c>
      <c r="K167" s="187">
        <f t="shared" si="45"/>
        <v>44.581560982019226</v>
      </c>
      <c r="L167" s="188">
        <f t="shared" ref="L167:L177" si="59">+J167-K167</f>
        <v>0.97628198859734283</v>
      </c>
      <c r="M167" s="189">
        <f t="shared" si="52"/>
        <v>8.0088587246669049E-2</v>
      </c>
      <c r="N167" s="190">
        <f t="shared" si="53"/>
        <v>1.0563705758440118</v>
      </c>
      <c r="O167" s="189">
        <f t="shared" si="54"/>
        <v>0</v>
      </c>
      <c r="P167" s="189">
        <f t="shared" si="55"/>
        <v>0</v>
      </c>
      <c r="Q167" s="189">
        <v>0</v>
      </c>
      <c r="R167" s="190">
        <f t="shared" si="56"/>
        <v>1.0563705758440118</v>
      </c>
    </row>
    <row r="168" spans="1:19" x14ac:dyDescent="0.25">
      <c r="A168" s="147">
        <v>5</v>
      </c>
      <c r="B168" s="182">
        <f t="shared" si="49"/>
        <v>45047</v>
      </c>
      <c r="C168" s="202">
        <f t="shared" si="57"/>
        <v>45082</v>
      </c>
      <c r="D168" s="202">
        <f t="shared" si="57"/>
        <v>45103</v>
      </c>
      <c r="E168" s="210" t="s">
        <v>56</v>
      </c>
      <c r="F168" s="147">
        <v>9</v>
      </c>
      <c r="G168" s="184">
        <v>10</v>
      </c>
      <c r="H168" s="185">
        <f t="shared" si="50"/>
        <v>5.5726951227524033</v>
      </c>
      <c r="I168" s="185">
        <f t="shared" si="48"/>
        <v>5.6947303713270712</v>
      </c>
      <c r="J168" s="186">
        <f t="shared" si="51"/>
        <v>56.947303713270713</v>
      </c>
      <c r="K168" s="187">
        <f t="shared" si="45"/>
        <v>55.726951227524033</v>
      </c>
      <c r="L168" s="188">
        <f t="shared" si="59"/>
        <v>1.2203524857466803</v>
      </c>
      <c r="M168" s="189">
        <f t="shared" si="52"/>
        <v>0.10011073405833633</v>
      </c>
      <c r="N168" s="190">
        <f t="shared" si="53"/>
        <v>1.3204632198050166</v>
      </c>
      <c r="O168" s="189">
        <f t="shared" si="54"/>
        <v>0</v>
      </c>
      <c r="P168" s="189">
        <f t="shared" si="55"/>
        <v>0</v>
      </c>
      <c r="Q168" s="189">
        <v>0</v>
      </c>
      <c r="R168" s="190">
        <f t="shared" si="56"/>
        <v>1.3204632198050166</v>
      </c>
    </row>
    <row r="169" spans="1:19" x14ac:dyDescent="0.25">
      <c r="A169" s="147">
        <v>6</v>
      </c>
      <c r="B169" s="182">
        <f t="shared" si="49"/>
        <v>45078</v>
      </c>
      <c r="C169" s="202">
        <f t="shared" si="57"/>
        <v>45112</v>
      </c>
      <c r="D169" s="202">
        <f t="shared" si="57"/>
        <v>45131</v>
      </c>
      <c r="E169" s="210" t="s">
        <v>56</v>
      </c>
      <c r="F169" s="147">
        <v>9</v>
      </c>
      <c r="G169" s="184">
        <v>12</v>
      </c>
      <c r="H169" s="185">
        <f t="shared" si="50"/>
        <v>5.5726951227524033</v>
      </c>
      <c r="I169" s="185">
        <f t="shared" si="48"/>
        <v>5.6947303713270712</v>
      </c>
      <c r="J169" s="186">
        <f t="shared" si="51"/>
        <v>68.33676445592485</v>
      </c>
      <c r="K169" s="187">
        <f t="shared" si="45"/>
        <v>66.87234147302884</v>
      </c>
      <c r="L169" s="192">
        <f t="shared" si="59"/>
        <v>1.4644229828960107</v>
      </c>
      <c r="M169" s="189">
        <f t="shared" si="52"/>
        <v>0.12013288087000359</v>
      </c>
      <c r="N169" s="190">
        <f t="shared" si="53"/>
        <v>1.5845558637660142</v>
      </c>
      <c r="O169" s="189">
        <f t="shared" si="54"/>
        <v>0</v>
      </c>
      <c r="P169" s="189">
        <f t="shared" si="55"/>
        <v>0</v>
      </c>
      <c r="Q169" s="189">
        <v>0</v>
      </c>
      <c r="R169" s="190">
        <f t="shared" si="56"/>
        <v>1.5845558637660142</v>
      </c>
    </row>
    <row r="170" spans="1:19" x14ac:dyDescent="0.25">
      <c r="A170" s="111">
        <v>7</v>
      </c>
      <c r="B170" s="182">
        <f t="shared" si="49"/>
        <v>45108</v>
      </c>
      <c r="C170" s="202">
        <f t="shared" si="57"/>
        <v>45141</v>
      </c>
      <c r="D170" s="202">
        <f t="shared" si="57"/>
        <v>45162</v>
      </c>
      <c r="E170" s="210" t="s">
        <v>56</v>
      </c>
      <c r="F170" s="147">
        <v>9</v>
      </c>
      <c r="G170" s="184">
        <v>14</v>
      </c>
      <c r="H170" s="185">
        <f t="shared" si="50"/>
        <v>5.5726951227524033</v>
      </c>
      <c r="I170" s="185">
        <f t="shared" si="48"/>
        <v>5.6947303713270712</v>
      </c>
      <c r="J170" s="186">
        <f t="shared" si="51"/>
        <v>79.726225198579002</v>
      </c>
      <c r="K170" s="193">
        <f t="shared" si="45"/>
        <v>78.017731718533639</v>
      </c>
      <c r="L170" s="192">
        <f t="shared" si="59"/>
        <v>1.7084934800453624</v>
      </c>
      <c r="M170" s="189">
        <f t="shared" si="52"/>
        <v>0.14015502768167087</v>
      </c>
      <c r="N170" s="190">
        <f t="shared" si="53"/>
        <v>1.8486485077270332</v>
      </c>
      <c r="O170" s="189">
        <f t="shared" si="54"/>
        <v>0</v>
      </c>
      <c r="P170" s="189">
        <f t="shared" si="55"/>
        <v>0</v>
      </c>
      <c r="Q170" s="189">
        <v>0</v>
      </c>
      <c r="R170" s="190">
        <f t="shared" si="56"/>
        <v>1.8486485077270332</v>
      </c>
    </row>
    <row r="171" spans="1:19" x14ac:dyDescent="0.25">
      <c r="A171" s="147">
        <v>8</v>
      </c>
      <c r="B171" s="182">
        <f t="shared" si="49"/>
        <v>45139</v>
      </c>
      <c r="C171" s="202">
        <f t="shared" si="57"/>
        <v>45174</v>
      </c>
      <c r="D171" s="202">
        <f t="shared" si="57"/>
        <v>45194</v>
      </c>
      <c r="E171" s="210" t="s">
        <v>56</v>
      </c>
      <c r="F171" s="111">
        <v>9</v>
      </c>
      <c r="G171" s="184">
        <v>13</v>
      </c>
      <c r="H171" s="185">
        <f t="shared" si="50"/>
        <v>5.5726951227524033</v>
      </c>
      <c r="I171" s="185">
        <f t="shared" si="48"/>
        <v>5.6947303713270712</v>
      </c>
      <c r="J171" s="186">
        <f t="shared" si="51"/>
        <v>74.031494827251919</v>
      </c>
      <c r="K171" s="193">
        <f t="shared" si="45"/>
        <v>72.445036595781247</v>
      </c>
      <c r="L171" s="192">
        <f t="shared" si="59"/>
        <v>1.5864582314706723</v>
      </c>
      <c r="M171" s="189">
        <f t="shared" si="52"/>
        <v>0.13014395427583722</v>
      </c>
      <c r="N171" s="190">
        <f t="shared" si="53"/>
        <v>1.7166021857465095</v>
      </c>
      <c r="O171" s="189">
        <f t="shared" si="54"/>
        <v>0</v>
      </c>
      <c r="P171" s="189">
        <f t="shared" si="55"/>
        <v>0</v>
      </c>
      <c r="Q171" s="189">
        <v>0</v>
      </c>
      <c r="R171" s="190">
        <f t="shared" si="56"/>
        <v>1.7166021857465095</v>
      </c>
      <c r="S171" s="50"/>
    </row>
    <row r="172" spans="1:19" x14ac:dyDescent="0.25">
      <c r="A172" s="147">
        <v>9</v>
      </c>
      <c r="B172" s="182">
        <f t="shared" si="49"/>
        <v>45170</v>
      </c>
      <c r="C172" s="202">
        <f t="shared" ref="C172:D175" si="60">+C160</f>
        <v>45203</v>
      </c>
      <c r="D172" s="202">
        <f t="shared" si="60"/>
        <v>45223</v>
      </c>
      <c r="E172" s="210" t="s">
        <v>56</v>
      </c>
      <c r="F172" s="111">
        <v>9</v>
      </c>
      <c r="G172" s="184">
        <v>13</v>
      </c>
      <c r="H172" s="185">
        <f t="shared" si="50"/>
        <v>5.5726951227524033</v>
      </c>
      <c r="I172" s="185">
        <f t="shared" si="48"/>
        <v>5.6947303713270712</v>
      </c>
      <c r="J172" s="186">
        <f t="shared" si="51"/>
        <v>74.031494827251919</v>
      </c>
      <c r="K172" s="193">
        <f t="shared" si="45"/>
        <v>72.445036595781247</v>
      </c>
      <c r="L172" s="192">
        <f t="shared" si="59"/>
        <v>1.5864582314706723</v>
      </c>
      <c r="M172" s="189">
        <f t="shared" si="52"/>
        <v>0.13014395427583722</v>
      </c>
      <c r="N172" s="190">
        <f t="shared" si="53"/>
        <v>1.7166021857465095</v>
      </c>
      <c r="O172" s="189">
        <f t="shared" si="54"/>
        <v>0</v>
      </c>
      <c r="P172" s="189">
        <f t="shared" si="55"/>
        <v>0</v>
      </c>
      <c r="Q172" s="189">
        <v>0</v>
      </c>
      <c r="R172" s="190">
        <f t="shared" si="56"/>
        <v>1.7166021857465095</v>
      </c>
    </row>
    <row r="173" spans="1:19" x14ac:dyDescent="0.25">
      <c r="A173" s="111">
        <v>10</v>
      </c>
      <c r="B173" s="182">
        <f t="shared" si="49"/>
        <v>45200</v>
      </c>
      <c r="C173" s="202">
        <f t="shared" si="60"/>
        <v>45233</v>
      </c>
      <c r="D173" s="202">
        <f t="shared" si="60"/>
        <v>45254</v>
      </c>
      <c r="E173" s="210" t="s">
        <v>56</v>
      </c>
      <c r="F173" s="111">
        <v>9</v>
      </c>
      <c r="G173" s="184">
        <v>11</v>
      </c>
      <c r="H173" s="185">
        <f t="shared" si="50"/>
        <v>5.5726951227524033</v>
      </c>
      <c r="I173" s="185">
        <f t="shared" si="48"/>
        <v>5.6947303713270712</v>
      </c>
      <c r="J173" s="186">
        <f t="shared" si="51"/>
        <v>62.642034084597782</v>
      </c>
      <c r="K173" s="193">
        <f t="shared" si="45"/>
        <v>61.299646350276433</v>
      </c>
      <c r="L173" s="192">
        <f t="shared" si="59"/>
        <v>1.3423877343213491</v>
      </c>
      <c r="M173" s="189">
        <f t="shared" si="52"/>
        <v>0.11012180746416997</v>
      </c>
      <c r="N173" s="190">
        <f t="shared" si="53"/>
        <v>1.4525095417855189</v>
      </c>
      <c r="O173" s="189">
        <f t="shared" si="54"/>
        <v>0</v>
      </c>
      <c r="P173" s="189">
        <f t="shared" si="55"/>
        <v>0</v>
      </c>
      <c r="Q173" s="189">
        <v>0</v>
      </c>
      <c r="R173" s="190">
        <f t="shared" si="56"/>
        <v>1.4525095417855189</v>
      </c>
    </row>
    <row r="174" spans="1:19" x14ac:dyDescent="0.25">
      <c r="A174" s="147">
        <v>11</v>
      </c>
      <c r="B174" s="182">
        <f t="shared" si="49"/>
        <v>45231</v>
      </c>
      <c r="C174" s="202">
        <f t="shared" si="60"/>
        <v>45266</v>
      </c>
      <c r="D174" s="202">
        <f t="shared" si="60"/>
        <v>45285</v>
      </c>
      <c r="E174" s="210" t="s">
        <v>56</v>
      </c>
      <c r="F174" s="111">
        <v>9</v>
      </c>
      <c r="G174" s="184">
        <v>7</v>
      </c>
      <c r="H174" s="185">
        <f t="shared" si="50"/>
        <v>5.5726951227524033</v>
      </c>
      <c r="I174" s="185">
        <f t="shared" si="48"/>
        <v>5.6947303713270712</v>
      </c>
      <c r="J174" s="186">
        <f t="shared" si="51"/>
        <v>39.863112599289501</v>
      </c>
      <c r="K174" s="193">
        <f t="shared" si="45"/>
        <v>39.00886585926682</v>
      </c>
      <c r="L174" s="192">
        <f t="shared" si="59"/>
        <v>0.85424674002268119</v>
      </c>
      <c r="M174" s="189">
        <f t="shared" si="52"/>
        <v>7.0077513840835437E-2</v>
      </c>
      <c r="N174" s="190">
        <f t="shared" si="53"/>
        <v>0.92432425386351658</v>
      </c>
      <c r="O174" s="189">
        <f t="shared" si="54"/>
        <v>0</v>
      </c>
      <c r="P174" s="189">
        <f t="shared" si="55"/>
        <v>0</v>
      </c>
      <c r="Q174" s="189">
        <v>0</v>
      </c>
      <c r="R174" s="190">
        <f t="shared" si="56"/>
        <v>0.92432425386351658</v>
      </c>
    </row>
    <row r="175" spans="1:19" s="206" customFormat="1" x14ac:dyDescent="0.25">
      <c r="A175" s="147">
        <v>12</v>
      </c>
      <c r="B175" s="204">
        <f t="shared" si="49"/>
        <v>45261</v>
      </c>
      <c r="C175" s="202">
        <f t="shared" si="60"/>
        <v>45294</v>
      </c>
      <c r="D175" s="202">
        <f t="shared" si="60"/>
        <v>45315</v>
      </c>
      <c r="E175" s="211" t="s">
        <v>56</v>
      </c>
      <c r="F175" s="158">
        <v>9</v>
      </c>
      <c r="G175" s="184">
        <v>8</v>
      </c>
      <c r="H175" s="194">
        <f t="shared" si="50"/>
        <v>5.5726951227524033</v>
      </c>
      <c r="I175" s="194">
        <f t="shared" si="48"/>
        <v>5.6947303713270712</v>
      </c>
      <c r="J175" s="195">
        <f t="shared" si="51"/>
        <v>45.557842970616569</v>
      </c>
      <c r="K175" s="196">
        <f t="shared" si="45"/>
        <v>44.581560982019226</v>
      </c>
      <c r="L175" s="197">
        <f t="shared" si="59"/>
        <v>0.97628198859734283</v>
      </c>
      <c r="M175" s="189">
        <f t="shared" si="52"/>
        <v>8.0088587246669049E-2</v>
      </c>
      <c r="N175" s="190">
        <f t="shared" si="53"/>
        <v>1.0563705758440118</v>
      </c>
      <c r="O175" s="189">
        <f t="shared" si="54"/>
        <v>0</v>
      </c>
      <c r="P175" s="189">
        <f t="shared" si="55"/>
        <v>0</v>
      </c>
      <c r="Q175" s="189">
        <v>0</v>
      </c>
      <c r="R175" s="190">
        <f t="shared" si="56"/>
        <v>1.0563705758440118</v>
      </c>
    </row>
    <row r="176" spans="1:19" x14ac:dyDescent="0.25">
      <c r="A176" s="111">
        <v>1</v>
      </c>
      <c r="B176" s="182">
        <f t="shared" si="49"/>
        <v>44927</v>
      </c>
      <c r="C176" s="199">
        <f t="shared" ref="C176:D187" si="61">+C152</f>
        <v>44960</v>
      </c>
      <c r="D176" s="199">
        <f t="shared" si="61"/>
        <v>44981</v>
      </c>
      <c r="E176" s="209" t="s">
        <v>57</v>
      </c>
      <c r="F176" s="147">
        <v>9</v>
      </c>
      <c r="G176" s="184">
        <v>21</v>
      </c>
      <c r="H176" s="185">
        <f t="shared" si="50"/>
        <v>5.5726951227524033</v>
      </c>
      <c r="I176" s="185">
        <f t="shared" si="48"/>
        <v>5.6947303713270712</v>
      </c>
      <c r="J176" s="186">
        <f t="shared" si="51"/>
        <v>119.5893377978685</v>
      </c>
      <c r="K176" s="187">
        <f t="shared" si="45"/>
        <v>117.02659757780047</v>
      </c>
      <c r="L176" s="188">
        <f t="shared" si="59"/>
        <v>2.5627402200680223</v>
      </c>
      <c r="M176" s="189">
        <f t="shared" si="52"/>
        <v>0.21023254152250628</v>
      </c>
      <c r="N176" s="190">
        <f t="shared" si="53"/>
        <v>2.7729727615905286</v>
      </c>
      <c r="O176" s="189">
        <f t="shared" si="54"/>
        <v>0</v>
      </c>
      <c r="P176" s="189">
        <f t="shared" si="55"/>
        <v>0</v>
      </c>
      <c r="Q176" s="189">
        <v>0</v>
      </c>
      <c r="R176" s="190">
        <f t="shared" si="56"/>
        <v>2.7729727615905286</v>
      </c>
    </row>
    <row r="177" spans="1:18" x14ac:dyDescent="0.25">
      <c r="A177" s="147">
        <v>2</v>
      </c>
      <c r="B177" s="182">
        <f t="shared" si="49"/>
        <v>44958</v>
      </c>
      <c r="C177" s="202">
        <f t="shared" si="61"/>
        <v>44988</v>
      </c>
      <c r="D177" s="202">
        <f t="shared" si="61"/>
        <v>45009</v>
      </c>
      <c r="E177" s="52" t="s">
        <v>57</v>
      </c>
      <c r="F177" s="147">
        <v>9</v>
      </c>
      <c r="G177" s="184">
        <v>21</v>
      </c>
      <c r="H177" s="185">
        <f t="shared" si="50"/>
        <v>5.5726951227524033</v>
      </c>
      <c r="I177" s="185">
        <f t="shared" si="48"/>
        <v>5.6947303713270712</v>
      </c>
      <c r="J177" s="186">
        <f t="shared" si="51"/>
        <v>119.5893377978685</v>
      </c>
      <c r="K177" s="187">
        <f t="shared" si="45"/>
        <v>117.02659757780047</v>
      </c>
      <c r="L177" s="188">
        <f t="shared" si="59"/>
        <v>2.5627402200680223</v>
      </c>
      <c r="M177" s="189">
        <f t="shared" si="52"/>
        <v>0.21023254152250628</v>
      </c>
      <c r="N177" s="190">
        <f t="shared" si="53"/>
        <v>2.7729727615905286</v>
      </c>
      <c r="O177" s="189">
        <f t="shared" si="54"/>
        <v>0</v>
      </c>
      <c r="P177" s="189">
        <f t="shared" si="55"/>
        <v>0</v>
      </c>
      <c r="Q177" s="189">
        <v>0</v>
      </c>
      <c r="R177" s="190">
        <f t="shared" si="56"/>
        <v>2.7729727615905286</v>
      </c>
    </row>
    <row r="178" spans="1:18" x14ac:dyDescent="0.25">
      <c r="A178" s="147">
        <v>3</v>
      </c>
      <c r="B178" s="182">
        <f t="shared" si="49"/>
        <v>44986</v>
      </c>
      <c r="C178" s="202">
        <f t="shared" si="61"/>
        <v>45021</v>
      </c>
      <c r="D178" s="202">
        <f t="shared" si="61"/>
        <v>45040</v>
      </c>
      <c r="E178" s="52" t="s">
        <v>57</v>
      </c>
      <c r="F178" s="147">
        <v>9</v>
      </c>
      <c r="G178" s="184">
        <v>19</v>
      </c>
      <c r="H178" s="185">
        <f t="shared" si="50"/>
        <v>5.5726951227524033</v>
      </c>
      <c r="I178" s="185">
        <f t="shared" si="48"/>
        <v>5.6947303713270712</v>
      </c>
      <c r="J178" s="186">
        <f t="shared" si="51"/>
        <v>108.19987705521436</v>
      </c>
      <c r="K178" s="187">
        <f t="shared" si="45"/>
        <v>105.88120733229566</v>
      </c>
      <c r="L178" s="188">
        <f>+J178-K178</f>
        <v>2.318669722918699</v>
      </c>
      <c r="M178" s="189">
        <f t="shared" si="52"/>
        <v>0.19021039471083903</v>
      </c>
      <c r="N178" s="190">
        <f t="shared" si="53"/>
        <v>2.5088801176295381</v>
      </c>
      <c r="O178" s="189">
        <f t="shared" si="54"/>
        <v>0</v>
      </c>
      <c r="P178" s="189">
        <f t="shared" si="55"/>
        <v>0</v>
      </c>
      <c r="Q178" s="189">
        <v>0</v>
      </c>
      <c r="R178" s="190">
        <f t="shared" si="56"/>
        <v>2.5088801176295381</v>
      </c>
    </row>
    <row r="179" spans="1:18" x14ac:dyDescent="0.25">
      <c r="A179" s="111">
        <v>4</v>
      </c>
      <c r="B179" s="182">
        <f t="shared" si="49"/>
        <v>45017</v>
      </c>
      <c r="C179" s="202">
        <f t="shared" si="61"/>
        <v>45049</v>
      </c>
      <c r="D179" s="202">
        <f t="shared" si="61"/>
        <v>45070</v>
      </c>
      <c r="E179" s="52" t="s">
        <v>57</v>
      </c>
      <c r="F179" s="147">
        <v>9</v>
      </c>
      <c r="G179" s="184">
        <v>21</v>
      </c>
      <c r="H179" s="185">
        <f t="shared" si="50"/>
        <v>5.5726951227524033</v>
      </c>
      <c r="I179" s="185">
        <f t="shared" si="48"/>
        <v>5.6947303713270712</v>
      </c>
      <c r="J179" s="186">
        <f t="shared" si="51"/>
        <v>119.5893377978685</v>
      </c>
      <c r="K179" s="187">
        <f t="shared" si="45"/>
        <v>117.02659757780047</v>
      </c>
      <c r="L179" s="188">
        <f t="shared" ref="L179:L189" si="62">+J179-K179</f>
        <v>2.5627402200680223</v>
      </c>
      <c r="M179" s="189">
        <f t="shared" si="52"/>
        <v>0.21023254152250628</v>
      </c>
      <c r="N179" s="190">
        <f t="shared" si="53"/>
        <v>2.7729727615905286</v>
      </c>
      <c r="O179" s="189">
        <f t="shared" si="54"/>
        <v>0</v>
      </c>
      <c r="P179" s="189">
        <f t="shared" si="55"/>
        <v>0</v>
      </c>
      <c r="Q179" s="189">
        <v>0</v>
      </c>
      <c r="R179" s="190">
        <f t="shared" si="56"/>
        <v>2.7729727615905286</v>
      </c>
    </row>
    <row r="180" spans="1:18" x14ac:dyDescent="0.25">
      <c r="A180" s="147">
        <v>5</v>
      </c>
      <c r="B180" s="182">
        <f t="shared" si="49"/>
        <v>45047</v>
      </c>
      <c r="C180" s="202">
        <f t="shared" si="61"/>
        <v>45082</v>
      </c>
      <c r="D180" s="202">
        <f t="shared" si="61"/>
        <v>45103</v>
      </c>
      <c r="E180" s="52" t="s">
        <v>57</v>
      </c>
      <c r="F180" s="147">
        <v>9</v>
      </c>
      <c r="G180" s="184">
        <v>28</v>
      </c>
      <c r="H180" s="185">
        <f t="shared" si="50"/>
        <v>5.5726951227524033</v>
      </c>
      <c r="I180" s="185">
        <f t="shared" ref="I180:I211" si="63">$J$3</f>
        <v>5.6947303713270712</v>
      </c>
      <c r="J180" s="186">
        <f t="shared" si="51"/>
        <v>159.452450397158</v>
      </c>
      <c r="K180" s="187">
        <f t="shared" si="45"/>
        <v>156.03546343706728</v>
      </c>
      <c r="L180" s="188">
        <f t="shared" si="62"/>
        <v>3.4169869600907248</v>
      </c>
      <c r="M180" s="189">
        <f t="shared" si="52"/>
        <v>0.28031005536334175</v>
      </c>
      <c r="N180" s="190">
        <f t="shared" si="53"/>
        <v>3.6972970154540663</v>
      </c>
      <c r="O180" s="189">
        <f t="shared" si="54"/>
        <v>0</v>
      </c>
      <c r="P180" s="189">
        <f t="shared" si="55"/>
        <v>0</v>
      </c>
      <c r="Q180" s="189">
        <v>0</v>
      </c>
      <c r="R180" s="190">
        <f t="shared" si="56"/>
        <v>3.6972970154540663</v>
      </c>
    </row>
    <row r="181" spans="1:18" x14ac:dyDescent="0.25">
      <c r="A181" s="147">
        <v>6</v>
      </c>
      <c r="B181" s="182">
        <f t="shared" si="49"/>
        <v>45078</v>
      </c>
      <c r="C181" s="202">
        <f t="shared" si="61"/>
        <v>45112</v>
      </c>
      <c r="D181" s="202">
        <f t="shared" si="61"/>
        <v>45131</v>
      </c>
      <c r="E181" s="52" t="s">
        <v>57</v>
      </c>
      <c r="F181" s="147">
        <v>9</v>
      </c>
      <c r="G181" s="184">
        <v>37</v>
      </c>
      <c r="H181" s="185">
        <f t="shared" si="50"/>
        <v>5.5726951227524033</v>
      </c>
      <c r="I181" s="185">
        <f t="shared" si="63"/>
        <v>5.6947303713270712</v>
      </c>
      <c r="J181" s="186">
        <f t="shared" si="51"/>
        <v>210.70502373910162</v>
      </c>
      <c r="K181" s="187">
        <f t="shared" si="45"/>
        <v>206.18971954183891</v>
      </c>
      <c r="L181" s="192">
        <f t="shared" si="62"/>
        <v>4.5153041972627079</v>
      </c>
      <c r="M181" s="189">
        <f t="shared" si="52"/>
        <v>0.37040971601584438</v>
      </c>
      <c r="N181" s="190">
        <f t="shared" si="53"/>
        <v>4.8857139132785523</v>
      </c>
      <c r="O181" s="189">
        <f t="shared" si="54"/>
        <v>0</v>
      </c>
      <c r="P181" s="189">
        <f t="shared" si="55"/>
        <v>0</v>
      </c>
      <c r="Q181" s="189">
        <v>0</v>
      </c>
      <c r="R181" s="190">
        <f t="shared" si="56"/>
        <v>4.8857139132785523</v>
      </c>
    </row>
    <row r="182" spans="1:18" x14ac:dyDescent="0.25">
      <c r="A182" s="111">
        <v>7</v>
      </c>
      <c r="B182" s="182">
        <f t="shared" si="49"/>
        <v>45108</v>
      </c>
      <c r="C182" s="202">
        <f t="shared" si="61"/>
        <v>45141</v>
      </c>
      <c r="D182" s="202">
        <f t="shared" si="61"/>
        <v>45162</v>
      </c>
      <c r="E182" s="52" t="s">
        <v>57</v>
      </c>
      <c r="F182" s="147">
        <v>9</v>
      </c>
      <c r="G182" s="184">
        <v>38</v>
      </c>
      <c r="H182" s="185">
        <f t="shared" si="50"/>
        <v>5.5726951227524033</v>
      </c>
      <c r="I182" s="185">
        <f t="shared" si="63"/>
        <v>5.6947303713270712</v>
      </c>
      <c r="J182" s="186">
        <f t="shared" si="51"/>
        <v>216.39975411042872</v>
      </c>
      <c r="K182" s="193">
        <f t="shared" si="45"/>
        <v>211.76241466459132</v>
      </c>
      <c r="L182" s="192">
        <f t="shared" si="62"/>
        <v>4.637339445837398</v>
      </c>
      <c r="M182" s="189">
        <f t="shared" si="52"/>
        <v>0.38042078942167806</v>
      </c>
      <c r="N182" s="190">
        <f t="shared" si="53"/>
        <v>5.0177602352590762</v>
      </c>
      <c r="O182" s="189">
        <f t="shared" si="54"/>
        <v>0</v>
      </c>
      <c r="P182" s="189">
        <f t="shared" si="55"/>
        <v>0</v>
      </c>
      <c r="Q182" s="189">
        <v>0</v>
      </c>
      <c r="R182" s="190">
        <f t="shared" si="56"/>
        <v>5.0177602352590762</v>
      </c>
    </row>
    <row r="183" spans="1:18" x14ac:dyDescent="0.25">
      <c r="A183" s="147">
        <v>8</v>
      </c>
      <c r="B183" s="182">
        <f t="shared" si="49"/>
        <v>45139</v>
      </c>
      <c r="C183" s="202">
        <f t="shared" si="61"/>
        <v>45174</v>
      </c>
      <c r="D183" s="202">
        <f t="shared" si="61"/>
        <v>45194</v>
      </c>
      <c r="E183" s="52" t="s">
        <v>57</v>
      </c>
      <c r="F183" s="147">
        <v>9</v>
      </c>
      <c r="G183" s="184">
        <v>40</v>
      </c>
      <c r="H183" s="185">
        <f t="shared" si="50"/>
        <v>5.5726951227524033</v>
      </c>
      <c r="I183" s="185">
        <f t="shared" si="63"/>
        <v>5.6947303713270712</v>
      </c>
      <c r="J183" s="186">
        <f t="shared" si="51"/>
        <v>227.78921485308285</v>
      </c>
      <c r="K183" s="193">
        <f t="shared" si="45"/>
        <v>222.90780491009613</v>
      </c>
      <c r="L183" s="192">
        <f t="shared" si="62"/>
        <v>4.8814099429867213</v>
      </c>
      <c r="M183" s="189">
        <f t="shared" si="52"/>
        <v>0.40044293623334531</v>
      </c>
      <c r="N183" s="190">
        <f t="shared" si="53"/>
        <v>5.2818528792200663</v>
      </c>
      <c r="O183" s="189">
        <f t="shared" si="54"/>
        <v>0</v>
      </c>
      <c r="P183" s="189">
        <f t="shared" si="55"/>
        <v>0</v>
      </c>
      <c r="Q183" s="189">
        <v>0</v>
      </c>
      <c r="R183" s="190">
        <f t="shared" si="56"/>
        <v>5.2818528792200663</v>
      </c>
    </row>
    <row r="184" spans="1:18" x14ac:dyDescent="0.25">
      <c r="A184" s="147">
        <v>9</v>
      </c>
      <c r="B184" s="182">
        <f t="shared" si="49"/>
        <v>45170</v>
      </c>
      <c r="C184" s="202">
        <f t="shared" si="61"/>
        <v>45203</v>
      </c>
      <c r="D184" s="202">
        <f t="shared" si="61"/>
        <v>45223</v>
      </c>
      <c r="E184" s="52" t="s">
        <v>57</v>
      </c>
      <c r="F184" s="147">
        <v>9</v>
      </c>
      <c r="G184" s="184">
        <v>37</v>
      </c>
      <c r="H184" s="185">
        <f t="shared" si="50"/>
        <v>5.5726951227524033</v>
      </c>
      <c r="I184" s="185">
        <f t="shared" si="63"/>
        <v>5.6947303713270712</v>
      </c>
      <c r="J184" s="186">
        <f t="shared" si="51"/>
        <v>210.70502373910162</v>
      </c>
      <c r="K184" s="193">
        <f t="shared" si="45"/>
        <v>206.18971954183891</v>
      </c>
      <c r="L184" s="192">
        <f t="shared" si="62"/>
        <v>4.5153041972627079</v>
      </c>
      <c r="M184" s="189">
        <f t="shared" si="52"/>
        <v>0.37040971601584438</v>
      </c>
      <c r="N184" s="190">
        <f t="shared" si="53"/>
        <v>4.8857139132785523</v>
      </c>
      <c r="O184" s="189">
        <f t="shared" si="54"/>
        <v>0</v>
      </c>
      <c r="P184" s="189">
        <f t="shared" si="55"/>
        <v>0</v>
      </c>
      <c r="Q184" s="189">
        <v>0</v>
      </c>
      <c r="R184" s="190">
        <f t="shared" si="56"/>
        <v>4.8857139132785523</v>
      </c>
    </row>
    <row r="185" spans="1:18" x14ac:dyDescent="0.25">
      <c r="A185" s="111">
        <v>10</v>
      </c>
      <c r="B185" s="182">
        <f t="shared" si="49"/>
        <v>45200</v>
      </c>
      <c r="C185" s="202">
        <f t="shared" si="61"/>
        <v>45233</v>
      </c>
      <c r="D185" s="202">
        <f t="shared" si="61"/>
        <v>45254</v>
      </c>
      <c r="E185" s="52" t="s">
        <v>57</v>
      </c>
      <c r="F185" s="147">
        <v>9</v>
      </c>
      <c r="G185" s="184">
        <v>30</v>
      </c>
      <c r="H185" s="185">
        <f t="shared" si="50"/>
        <v>5.5726951227524033</v>
      </c>
      <c r="I185" s="185">
        <f t="shared" si="63"/>
        <v>5.6947303713270712</v>
      </c>
      <c r="J185" s="186">
        <f t="shared" si="51"/>
        <v>170.84191113981214</v>
      </c>
      <c r="K185" s="193">
        <f t="shared" si="45"/>
        <v>167.18085368257209</v>
      </c>
      <c r="L185" s="192">
        <f t="shared" si="62"/>
        <v>3.6610574572400481</v>
      </c>
      <c r="M185" s="189">
        <f t="shared" si="52"/>
        <v>0.300332202175009</v>
      </c>
      <c r="N185" s="190">
        <f t="shared" si="53"/>
        <v>3.9613896594150573</v>
      </c>
      <c r="O185" s="189">
        <f t="shared" si="54"/>
        <v>0</v>
      </c>
      <c r="P185" s="189">
        <f t="shared" si="55"/>
        <v>0</v>
      </c>
      <c r="Q185" s="189">
        <v>0</v>
      </c>
      <c r="R185" s="190">
        <f t="shared" si="56"/>
        <v>3.9613896594150573</v>
      </c>
    </row>
    <row r="186" spans="1:18" x14ac:dyDescent="0.25">
      <c r="A186" s="147">
        <v>11</v>
      </c>
      <c r="B186" s="182">
        <f t="shared" si="49"/>
        <v>45231</v>
      </c>
      <c r="C186" s="202">
        <f t="shared" si="61"/>
        <v>45266</v>
      </c>
      <c r="D186" s="202">
        <f t="shared" si="61"/>
        <v>45285</v>
      </c>
      <c r="E186" s="52" t="s">
        <v>57</v>
      </c>
      <c r="F186" s="147">
        <v>9</v>
      </c>
      <c r="G186" s="184">
        <v>19</v>
      </c>
      <c r="H186" s="185">
        <f t="shared" si="50"/>
        <v>5.5726951227524033</v>
      </c>
      <c r="I186" s="185">
        <f t="shared" si="63"/>
        <v>5.6947303713270712</v>
      </c>
      <c r="J186" s="186">
        <f t="shared" si="51"/>
        <v>108.19987705521436</v>
      </c>
      <c r="K186" s="193">
        <f t="shared" si="45"/>
        <v>105.88120733229566</v>
      </c>
      <c r="L186" s="192">
        <f t="shared" si="62"/>
        <v>2.318669722918699</v>
      </c>
      <c r="M186" s="189">
        <f t="shared" si="52"/>
        <v>0.19021039471083903</v>
      </c>
      <c r="N186" s="190">
        <f t="shared" si="53"/>
        <v>2.5088801176295381</v>
      </c>
      <c r="O186" s="189">
        <f t="shared" si="54"/>
        <v>0</v>
      </c>
      <c r="P186" s="189">
        <f t="shared" si="55"/>
        <v>0</v>
      </c>
      <c r="Q186" s="189">
        <v>0</v>
      </c>
      <c r="R186" s="190">
        <f t="shared" si="56"/>
        <v>2.5088801176295381</v>
      </c>
    </row>
    <row r="187" spans="1:18" s="206" customFormat="1" x14ac:dyDescent="0.25">
      <c r="A187" s="147">
        <v>12</v>
      </c>
      <c r="B187" s="204">
        <f t="shared" si="49"/>
        <v>45261</v>
      </c>
      <c r="C187" s="202">
        <f t="shared" si="61"/>
        <v>45294</v>
      </c>
      <c r="D187" s="202">
        <f t="shared" si="61"/>
        <v>45315</v>
      </c>
      <c r="E187" s="205" t="s">
        <v>57</v>
      </c>
      <c r="F187" s="158">
        <v>9</v>
      </c>
      <c r="G187" s="184">
        <v>20</v>
      </c>
      <c r="H187" s="194">
        <f t="shared" si="50"/>
        <v>5.5726951227524033</v>
      </c>
      <c r="I187" s="194">
        <f t="shared" si="63"/>
        <v>5.6947303713270712</v>
      </c>
      <c r="J187" s="195">
        <f t="shared" si="51"/>
        <v>113.89460742654143</v>
      </c>
      <c r="K187" s="196">
        <f t="shared" si="45"/>
        <v>111.45390245504807</v>
      </c>
      <c r="L187" s="197">
        <f t="shared" si="62"/>
        <v>2.4407049714933606</v>
      </c>
      <c r="M187" s="189">
        <f t="shared" si="52"/>
        <v>0.20022146811667266</v>
      </c>
      <c r="N187" s="190">
        <f t="shared" si="53"/>
        <v>2.6409264396100331</v>
      </c>
      <c r="O187" s="189">
        <f t="shared" si="54"/>
        <v>0</v>
      </c>
      <c r="P187" s="189">
        <f t="shared" si="55"/>
        <v>0</v>
      </c>
      <c r="Q187" s="189">
        <v>0</v>
      </c>
      <c r="R187" s="190">
        <f t="shared" si="56"/>
        <v>2.6409264396100331</v>
      </c>
    </row>
    <row r="188" spans="1:18" x14ac:dyDescent="0.25">
      <c r="A188" s="111">
        <v>1</v>
      </c>
      <c r="B188" s="182">
        <f t="shared" si="49"/>
        <v>44927</v>
      </c>
      <c r="C188" s="199">
        <f t="shared" ref="C188:D211" si="64">+C176</f>
        <v>44960</v>
      </c>
      <c r="D188" s="199">
        <f t="shared" si="64"/>
        <v>44981</v>
      </c>
      <c r="E188" s="183" t="s">
        <v>58</v>
      </c>
      <c r="F188" s="111">
        <v>9</v>
      </c>
      <c r="G188" s="184">
        <v>36</v>
      </c>
      <c r="H188" s="185">
        <f t="shared" si="50"/>
        <v>5.5726951227524033</v>
      </c>
      <c r="I188" s="185">
        <f t="shared" si="63"/>
        <v>5.6947303713270712</v>
      </c>
      <c r="J188" s="186">
        <f t="shared" si="51"/>
        <v>205.01029336777455</v>
      </c>
      <c r="K188" s="187">
        <f t="shared" si="45"/>
        <v>200.61702441908653</v>
      </c>
      <c r="L188" s="188">
        <f t="shared" si="62"/>
        <v>4.3932689486880179</v>
      </c>
      <c r="M188" s="189">
        <f t="shared" si="52"/>
        <v>0.36039864261001076</v>
      </c>
      <c r="N188" s="190">
        <f t="shared" si="53"/>
        <v>4.7536675912980284</v>
      </c>
      <c r="O188" s="189">
        <f t="shared" si="54"/>
        <v>0</v>
      </c>
      <c r="P188" s="189">
        <f t="shared" si="55"/>
        <v>0</v>
      </c>
      <c r="Q188" s="189">
        <v>0</v>
      </c>
      <c r="R188" s="190">
        <f t="shared" si="56"/>
        <v>4.7536675912980284</v>
      </c>
    </row>
    <row r="189" spans="1:18" x14ac:dyDescent="0.25">
      <c r="A189" s="147">
        <v>2</v>
      </c>
      <c r="B189" s="182">
        <f t="shared" si="49"/>
        <v>44958</v>
      </c>
      <c r="C189" s="202">
        <f t="shared" si="64"/>
        <v>44988</v>
      </c>
      <c r="D189" s="202">
        <f t="shared" si="64"/>
        <v>45009</v>
      </c>
      <c r="E189" s="191" t="s">
        <v>58</v>
      </c>
      <c r="F189" s="147">
        <v>9</v>
      </c>
      <c r="G189" s="184">
        <v>32</v>
      </c>
      <c r="H189" s="185">
        <f t="shared" si="50"/>
        <v>5.5726951227524033</v>
      </c>
      <c r="I189" s="185">
        <f t="shared" si="63"/>
        <v>5.6947303713270712</v>
      </c>
      <c r="J189" s="186">
        <f t="shared" si="51"/>
        <v>182.23137188246628</v>
      </c>
      <c r="K189" s="187">
        <f t="shared" si="45"/>
        <v>178.32624392807691</v>
      </c>
      <c r="L189" s="188">
        <f t="shared" si="62"/>
        <v>3.9051279543893713</v>
      </c>
      <c r="M189" s="189">
        <f t="shared" si="52"/>
        <v>0.3203543489866762</v>
      </c>
      <c r="N189" s="190">
        <f t="shared" si="53"/>
        <v>4.2254823033760474</v>
      </c>
      <c r="O189" s="189">
        <f t="shared" si="54"/>
        <v>0</v>
      </c>
      <c r="P189" s="189">
        <f t="shared" si="55"/>
        <v>0</v>
      </c>
      <c r="Q189" s="189">
        <v>0</v>
      </c>
      <c r="R189" s="190">
        <f t="shared" si="56"/>
        <v>4.2254823033760474</v>
      </c>
    </row>
    <row r="190" spans="1:18" x14ac:dyDescent="0.25">
      <c r="A190" s="147">
        <v>3</v>
      </c>
      <c r="B190" s="182">
        <f t="shared" si="49"/>
        <v>44986</v>
      </c>
      <c r="C190" s="202">
        <f t="shared" si="64"/>
        <v>45021</v>
      </c>
      <c r="D190" s="202">
        <f t="shared" si="64"/>
        <v>45040</v>
      </c>
      <c r="E190" s="191" t="s">
        <v>58</v>
      </c>
      <c r="F190" s="147">
        <v>9</v>
      </c>
      <c r="G190" s="184">
        <v>32</v>
      </c>
      <c r="H190" s="185">
        <f t="shared" si="50"/>
        <v>5.5726951227524033</v>
      </c>
      <c r="I190" s="185">
        <f t="shared" si="63"/>
        <v>5.6947303713270712</v>
      </c>
      <c r="J190" s="186">
        <f t="shared" si="51"/>
        <v>182.23137188246628</v>
      </c>
      <c r="K190" s="187">
        <f t="shared" si="45"/>
        <v>178.32624392807691</v>
      </c>
      <c r="L190" s="188">
        <f>+J190-K190</f>
        <v>3.9051279543893713</v>
      </c>
      <c r="M190" s="189">
        <f t="shared" si="52"/>
        <v>0.3203543489866762</v>
      </c>
      <c r="N190" s="190">
        <f t="shared" si="53"/>
        <v>4.2254823033760474</v>
      </c>
      <c r="O190" s="189">
        <f t="shared" si="54"/>
        <v>0</v>
      </c>
      <c r="P190" s="189">
        <f t="shared" si="55"/>
        <v>0</v>
      </c>
      <c r="Q190" s="189">
        <v>0</v>
      </c>
      <c r="R190" s="190">
        <f t="shared" si="56"/>
        <v>4.2254823033760474</v>
      </c>
    </row>
    <row r="191" spans="1:18" x14ac:dyDescent="0.25">
      <c r="A191" s="111">
        <v>4</v>
      </c>
      <c r="B191" s="182">
        <f t="shared" si="49"/>
        <v>45017</v>
      </c>
      <c r="C191" s="202">
        <f t="shared" si="64"/>
        <v>45049</v>
      </c>
      <c r="D191" s="202">
        <f t="shared" si="64"/>
        <v>45070</v>
      </c>
      <c r="E191" s="52" t="s">
        <v>58</v>
      </c>
      <c r="F191" s="147">
        <v>9</v>
      </c>
      <c r="G191" s="184">
        <v>31</v>
      </c>
      <c r="H191" s="185">
        <f t="shared" si="50"/>
        <v>5.5726951227524033</v>
      </c>
      <c r="I191" s="185">
        <f t="shared" si="63"/>
        <v>5.6947303713270712</v>
      </c>
      <c r="J191" s="186">
        <f t="shared" si="51"/>
        <v>176.53664151113921</v>
      </c>
      <c r="K191" s="187">
        <f t="shared" si="45"/>
        <v>172.7535488053245</v>
      </c>
      <c r="L191" s="188">
        <f t="shared" ref="L191:L201" si="65">+J191-K191</f>
        <v>3.7830927058147097</v>
      </c>
      <c r="M191" s="189">
        <f t="shared" si="52"/>
        <v>0.31034327558084257</v>
      </c>
      <c r="N191" s="190">
        <f t="shared" si="53"/>
        <v>4.0934359813955519</v>
      </c>
      <c r="O191" s="189">
        <f t="shared" si="54"/>
        <v>0</v>
      </c>
      <c r="P191" s="189">
        <f t="shared" si="55"/>
        <v>0</v>
      </c>
      <c r="Q191" s="189">
        <v>0</v>
      </c>
      <c r="R191" s="190">
        <f t="shared" si="56"/>
        <v>4.0934359813955519</v>
      </c>
    </row>
    <row r="192" spans="1:18" x14ac:dyDescent="0.25">
      <c r="A192" s="147">
        <v>5</v>
      </c>
      <c r="B192" s="182">
        <f t="shared" si="49"/>
        <v>45047</v>
      </c>
      <c r="C192" s="202">
        <f t="shared" si="64"/>
        <v>45082</v>
      </c>
      <c r="D192" s="202">
        <f t="shared" si="64"/>
        <v>45103</v>
      </c>
      <c r="E192" s="52" t="s">
        <v>58</v>
      </c>
      <c r="F192" s="147">
        <v>9</v>
      </c>
      <c r="G192" s="184">
        <v>38</v>
      </c>
      <c r="H192" s="185">
        <f t="shared" si="50"/>
        <v>5.5726951227524033</v>
      </c>
      <c r="I192" s="185">
        <f t="shared" si="63"/>
        <v>5.6947303713270712</v>
      </c>
      <c r="J192" s="186">
        <f t="shared" si="51"/>
        <v>216.39975411042872</v>
      </c>
      <c r="K192" s="187">
        <f t="shared" si="45"/>
        <v>211.76241466459132</v>
      </c>
      <c r="L192" s="188">
        <f t="shared" si="65"/>
        <v>4.637339445837398</v>
      </c>
      <c r="M192" s="189">
        <f t="shared" si="52"/>
        <v>0.38042078942167806</v>
      </c>
      <c r="N192" s="190">
        <f t="shared" si="53"/>
        <v>5.0177602352590762</v>
      </c>
      <c r="O192" s="189">
        <f t="shared" si="54"/>
        <v>0</v>
      </c>
      <c r="P192" s="189">
        <f t="shared" si="55"/>
        <v>0</v>
      </c>
      <c r="Q192" s="189">
        <v>0</v>
      </c>
      <c r="R192" s="190">
        <f t="shared" si="56"/>
        <v>5.0177602352590762</v>
      </c>
    </row>
    <row r="193" spans="1:18" x14ac:dyDescent="0.25">
      <c r="A193" s="147">
        <v>6</v>
      </c>
      <c r="B193" s="182">
        <f t="shared" si="49"/>
        <v>45078</v>
      </c>
      <c r="C193" s="202">
        <f t="shared" si="64"/>
        <v>45112</v>
      </c>
      <c r="D193" s="202">
        <f t="shared" si="64"/>
        <v>45131</v>
      </c>
      <c r="E193" s="52" t="s">
        <v>58</v>
      </c>
      <c r="F193" s="147">
        <v>9</v>
      </c>
      <c r="G193" s="184">
        <v>48</v>
      </c>
      <c r="H193" s="185">
        <f t="shared" si="50"/>
        <v>5.5726951227524033</v>
      </c>
      <c r="I193" s="185">
        <f t="shared" si="63"/>
        <v>5.6947303713270712</v>
      </c>
      <c r="J193" s="186">
        <f t="shared" si="51"/>
        <v>273.3470578236994</v>
      </c>
      <c r="K193" s="187">
        <f t="shared" si="45"/>
        <v>267.48936589211536</v>
      </c>
      <c r="L193" s="192">
        <f t="shared" si="65"/>
        <v>5.8576919315840428</v>
      </c>
      <c r="M193" s="189">
        <f t="shared" si="52"/>
        <v>0.48053152348001438</v>
      </c>
      <c r="N193" s="190">
        <f t="shared" si="53"/>
        <v>6.3382234550640568</v>
      </c>
      <c r="O193" s="189">
        <f t="shared" si="54"/>
        <v>0</v>
      </c>
      <c r="P193" s="189">
        <f t="shared" si="55"/>
        <v>0</v>
      </c>
      <c r="Q193" s="189">
        <v>0</v>
      </c>
      <c r="R193" s="190">
        <f t="shared" si="56"/>
        <v>6.3382234550640568</v>
      </c>
    </row>
    <row r="194" spans="1:18" x14ac:dyDescent="0.25">
      <c r="A194" s="111">
        <v>7</v>
      </c>
      <c r="B194" s="182">
        <f t="shared" si="49"/>
        <v>45108</v>
      </c>
      <c r="C194" s="202">
        <f t="shared" si="64"/>
        <v>45141</v>
      </c>
      <c r="D194" s="202">
        <f t="shared" si="64"/>
        <v>45162</v>
      </c>
      <c r="E194" s="52" t="s">
        <v>58</v>
      </c>
      <c r="F194" s="147">
        <v>9</v>
      </c>
      <c r="G194" s="184">
        <v>49</v>
      </c>
      <c r="H194" s="185">
        <f t="shared" si="50"/>
        <v>5.5726951227524033</v>
      </c>
      <c r="I194" s="185">
        <f t="shared" si="63"/>
        <v>5.6947303713270712</v>
      </c>
      <c r="J194" s="186">
        <f t="shared" si="51"/>
        <v>279.04178819502647</v>
      </c>
      <c r="K194" s="193">
        <f t="shared" si="45"/>
        <v>273.06206101486777</v>
      </c>
      <c r="L194" s="192">
        <f t="shared" si="65"/>
        <v>5.9797271801587044</v>
      </c>
      <c r="M194" s="189">
        <f t="shared" si="52"/>
        <v>0.490542596885848</v>
      </c>
      <c r="N194" s="190">
        <f t="shared" si="53"/>
        <v>6.4702697770445523</v>
      </c>
      <c r="O194" s="189">
        <f t="shared" si="54"/>
        <v>0</v>
      </c>
      <c r="P194" s="189">
        <f t="shared" si="55"/>
        <v>0</v>
      </c>
      <c r="Q194" s="189">
        <v>0</v>
      </c>
      <c r="R194" s="190">
        <f t="shared" si="56"/>
        <v>6.4702697770445523</v>
      </c>
    </row>
    <row r="195" spans="1:18" x14ac:dyDescent="0.25">
      <c r="A195" s="147">
        <v>8</v>
      </c>
      <c r="B195" s="182">
        <f t="shared" si="49"/>
        <v>45139</v>
      </c>
      <c r="C195" s="202">
        <f t="shared" si="64"/>
        <v>45174</v>
      </c>
      <c r="D195" s="202">
        <f t="shared" si="64"/>
        <v>45194</v>
      </c>
      <c r="E195" s="52" t="s">
        <v>58</v>
      </c>
      <c r="F195" s="147">
        <v>9</v>
      </c>
      <c r="G195" s="184">
        <v>50</v>
      </c>
      <c r="H195" s="185">
        <f t="shared" si="50"/>
        <v>5.5726951227524033</v>
      </c>
      <c r="I195" s="185">
        <f t="shared" si="63"/>
        <v>5.6947303713270712</v>
      </c>
      <c r="J195" s="186">
        <f t="shared" si="51"/>
        <v>284.73651856635354</v>
      </c>
      <c r="K195" s="193">
        <f t="shared" si="45"/>
        <v>278.63475613762017</v>
      </c>
      <c r="L195" s="192">
        <f t="shared" si="65"/>
        <v>6.1017624287333661</v>
      </c>
      <c r="M195" s="189">
        <f t="shared" si="52"/>
        <v>0.50055367029168163</v>
      </c>
      <c r="N195" s="190">
        <f t="shared" si="53"/>
        <v>6.6023160990250478</v>
      </c>
      <c r="O195" s="189">
        <f t="shared" si="54"/>
        <v>0</v>
      </c>
      <c r="P195" s="189">
        <f t="shared" si="55"/>
        <v>0</v>
      </c>
      <c r="Q195" s="189">
        <v>0</v>
      </c>
      <c r="R195" s="190">
        <f t="shared" si="56"/>
        <v>6.6023160990250478</v>
      </c>
    </row>
    <row r="196" spans="1:18" x14ac:dyDescent="0.25">
      <c r="A196" s="147">
        <v>9</v>
      </c>
      <c r="B196" s="182">
        <f t="shared" si="49"/>
        <v>45170</v>
      </c>
      <c r="C196" s="202">
        <f t="shared" si="64"/>
        <v>45203</v>
      </c>
      <c r="D196" s="202">
        <f t="shared" si="64"/>
        <v>45223</v>
      </c>
      <c r="E196" s="52" t="s">
        <v>58</v>
      </c>
      <c r="F196" s="147">
        <v>9</v>
      </c>
      <c r="G196" s="184">
        <v>47</v>
      </c>
      <c r="H196" s="185">
        <f t="shared" si="50"/>
        <v>5.5726951227524033</v>
      </c>
      <c r="I196" s="185">
        <f t="shared" si="63"/>
        <v>5.6947303713270712</v>
      </c>
      <c r="J196" s="186">
        <f t="shared" si="51"/>
        <v>267.65232745237233</v>
      </c>
      <c r="K196" s="193">
        <f t="shared" si="45"/>
        <v>261.91667076936295</v>
      </c>
      <c r="L196" s="192">
        <f t="shared" si="65"/>
        <v>5.7356566830093811</v>
      </c>
      <c r="M196" s="189">
        <f t="shared" si="52"/>
        <v>0.47052045007418075</v>
      </c>
      <c r="N196" s="190">
        <f t="shared" si="53"/>
        <v>6.2061771330835622</v>
      </c>
      <c r="O196" s="189">
        <f t="shared" si="54"/>
        <v>0</v>
      </c>
      <c r="P196" s="189">
        <f t="shared" si="55"/>
        <v>0</v>
      </c>
      <c r="Q196" s="189">
        <v>0</v>
      </c>
      <c r="R196" s="190">
        <f t="shared" si="56"/>
        <v>6.2061771330835622</v>
      </c>
    </row>
    <row r="197" spans="1:18" x14ac:dyDescent="0.25">
      <c r="A197" s="111">
        <v>10</v>
      </c>
      <c r="B197" s="182">
        <f t="shared" si="49"/>
        <v>45200</v>
      </c>
      <c r="C197" s="202">
        <f t="shared" si="64"/>
        <v>45233</v>
      </c>
      <c r="D197" s="202">
        <f t="shared" si="64"/>
        <v>45254</v>
      </c>
      <c r="E197" s="52" t="s">
        <v>58</v>
      </c>
      <c r="F197" s="147">
        <v>9</v>
      </c>
      <c r="G197" s="184">
        <v>36</v>
      </c>
      <c r="H197" s="185">
        <f t="shared" si="50"/>
        <v>5.5726951227524033</v>
      </c>
      <c r="I197" s="185">
        <f t="shared" si="63"/>
        <v>5.6947303713270712</v>
      </c>
      <c r="J197" s="186">
        <f t="shared" si="51"/>
        <v>205.01029336777455</v>
      </c>
      <c r="K197" s="193">
        <f t="shared" si="45"/>
        <v>200.61702441908653</v>
      </c>
      <c r="L197" s="192">
        <f t="shared" si="65"/>
        <v>4.3932689486880179</v>
      </c>
      <c r="M197" s="189">
        <f t="shared" si="52"/>
        <v>0.36039864261001076</v>
      </c>
      <c r="N197" s="190">
        <f t="shared" si="53"/>
        <v>4.7536675912980284</v>
      </c>
      <c r="O197" s="189">
        <f t="shared" si="54"/>
        <v>0</v>
      </c>
      <c r="P197" s="189">
        <f t="shared" si="55"/>
        <v>0</v>
      </c>
      <c r="Q197" s="189">
        <v>0</v>
      </c>
      <c r="R197" s="190">
        <f t="shared" si="56"/>
        <v>4.7536675912980284</v>
      </c>
    </row>
    <row r="198" spans="1:18" x14ac:dyDescent="0.25">
      <c r="A198" s="147">
        <v>11</v>
      </c>
      <c r="B198" s="182">
        <f t="shared" si="49"/>
        <v>45231</v>
      </c>
      <c r="C198" s="202">
        <f t="shared" si="64"/>
        <v>45266</v>
      </c>
      <c r="D198" s="202">
        <f t="shared" si="64"/>
        <v>45285</v>
      </c>
      <c r="E198" s="52" t="s">
        <v>58</v>
      </c>
      <c r="F198" s="147">
        <v>9</v>
      </c>
      <c r="G198" s="184">
        <v>26</v>
      </c>
      <c r="H198" s="185">
        <f t="shared" si="50"/>
        <v>5.5726951227524033</v>
      </c>
      <c r="I198" s="185">
        <f t="shared" si="63"/>
        <v>5.6947303713270712</v>
      </c>
      <c r="J198" s="186">
        <f t="shared" si="51"/>
        <v>148.06298965450384</v>
      </c>
      <c r="K198" s="193">
        <f t="shared" ref="K198:K209" si="66">+$G198*H198</f>
        <v>144.89007319156249</v>
      </c>
      <c r="L198" s="192">
        <f t="shared" si="65"/>
        <v>3.1729164629413447</v>
      </c>
      <c r="M198" s="189">
        <f t="shared" si="52"/>
        <v>0.26028790855167444</v>
      </c>
      <c r="N198" s="190">
        <f t="shared" si="53"/>
        <v>3.4332043714930189</v>
      </c>
      <c r="O198" s="189">
        <f t="shared" si="54"/>
        <v>0</v>
      </c>
      <c r="P198" s="189">
        <f t="shared" si="55"/>
        <v>0</v>
      </c>
      <c r="Q198" s="189">
        <v>0</v>
      </c>
      <c r="R198" s="190">
        <f t="shared" si="56"/>
        <v>3.4332043714930189</v>
      </c>
    </row>
    <row r="199" spans="1:18" s="206" customFormat="1" x14ac:dyDescent="0.25">
      <c r="A199" s="147">
        <v>12</v>
      </c>
      <c r="B199" s="204">
        <f t="shared" si="49"/>
        <v>45261</v>
      </c>
      <c r="C199" s="202">
        <f t="shared" si="64"/>
        <v>45294</v>
      </c>
      <c r="D199" s="202">
        <f t="shared" si="64"/>
        <v>45315</v>
      </c>
      <c r="E199" s="205" t="s">
        <v>58</v>
      </c>
      <c r="F199" s="158">
        <v>9</v>
      </c>
      <c r="G199" s="184">
        <v>31</v>
      </c>
      <c r="H199" s="194">
        <f t="shared" si="50"/>
        <v>5.5726951227524033</v>
      </c>
      <c r="I199" s="194">
        <f t="shared" si="63"/>
        <v>5.6947303713270712</v>
      </c>
      <c r="J199" s="195">
        <f t="shared" si="51"/>
        <v>176.53664151113921</v>
      </c>
      <c r="K199" s="196">
        <f t="shared" si="66"/>
        <v>172.7535488053245</v>
      </c>
      <c r="L199" s="197">
        <f t="shared" si="65"/>
        <v>3.7830927058147097</v>
      </c>
      <c r="M199" s="189">
        <f t="shared" si="52"/>
        <v>0.31034327558084257</v>
      </c>
      <c r="N199" s="190">
        <f t="shared" si="53"/>
        <v>4.0934359813955519</v>
      </c>
      <c r="O199" s="189">
        <f t="shared" si="54"/>
        <v>0</v>
      </c>
      <c r="P199" s="189">
        <f t="shared" si="55"/>
        <v>0</v>
      </c>
      <c r="Q199" s="189">
        <v>0</v>
      </c>
      <c r="R199" s="190">
        <f t="shared" si="56"/>
        <v>4.0934359813955519</v>
      </c>
    </row>
    <row r="200" spans="1:18" x14ac:dyDescent="0.25">
      <c r="A200" s="111">
        <v>1</v>
      </c>
      <c r="B200" s="182">
        <f t="shared" si="49"/>
        <v>44927</v>
      </c>
      <c r="C200" s="199">
        <f t="shared" si="64"/>
        <v>44960</v>
      </c>
      <c r="D200" s="199">
        <f t="shared" si="64"/>
        <v>44981</v>
      </c>
      <c r="E200" s="183" t="s">
        <v>17</v>
      </c>
      <c r="F200" s="111">
        <v>9</v>
      </c>
      <c r="G200" s="184">
        <v>104</v>
      </c>
      <c r="H200" s="185">
        <f t="shared" si="50"/>
        <v>5.5726951227524033</v>
      </c>
      <c r="I200" s="185">
        <f t="shared" si="63"/>
        <v>5.6947303713270712</v>
      </c>
      <c r="J200" s="186">
        <f t="shared" si="51"/>
        <v>592.25195861801535</v>
      </c>
      <c r="K200" s="187">
        <f t="shared" si="66"/>
        <v>579.56029276624997</v>
      </c>
      <c r="L200" s="188">
        <f t="shared" si="65"/>
        <v>12.691665851765379</v>
      </c>
      <c r="M200" s="189">
        <f t="shared" si="52"/>
        <v>1.0411516342066978</v>
      </c>
      <c r="N200" s="190">
        <f t="shared" si="53"/>
        <v>13.732817485972076</v>
      </c>
      <c r="O200" s="189">
        <f t="shared" si="54"/>
        <v>0</v>
      </c>
      <c r="P200" s="189">
        <f t="shared" si="55"/>
        <v>0</v>
      </c>
      <c r="Q200" s="189">
        <v>0</v>
      </c>
      <c r="R200" s="190">
        <f t="shared" si="56"/>
        <v>13.732817485972076</v>
      </c>
    </row>
    <row r="201" spans="1:18" x14ac:dyDescent="0.25">
      <c r="A201" s="147">
        <v>2</v>
      </c>
      <c r="B201" s="182">
        <f t="shared" si="49"/>
        <v>44958</v>
      </c>
      <c r="C201" s="202">
        <f t="shared" si="64"/>
        <v>44988</v>
      </c>
      <c r="D201" s="202">
        <f t="shared" si="64"/>
        <v>45009</v>
      </c>
      <c r="E201" s="191" t="s">
        <v>17</v>
      </c>
      <c r="F201" s="147">
        <v>9</v>
      </c>
      <c r="G201" s="184">
        <v>107</v>
      </c>
      <c r="H201" s="185">
        <f t="shared" si="50"/>
        <v>5.5726951227524033</v>
      </c>
      <c r="I201" s="185">
        <f t="shared" si="63"/>
        <v>5.6947303713270712</v>
      </c>
      <c r="J201" s="186">
        <f t="shared" si="51"/>
        <v>609.33614973199667</v>
      </c>
      <c r="K201" s="187">
        <f t="shared" si="66"/>
        <v>596.27837813450719</v>
      </c>
      <c r="L201" s="188">
        <f t="shared" si="65"/>
        <v>13.057771597489477</v>
      </c>
      <c r="M201" s="189">
        <f t="shared" si="52"/>
        <v>1.0711848544241986</v>
      </c>
      <c r="N201" s="190">
        <f t="shared" si="53"/>
        <v>14.128956451913677</v>
      </c>
      <c r="O201" s="189">
        <f t="shared" si="54"/>
        <v>0</v>
      </c>
      <c r="P201" s="189">
        <f t="shared" si="55"/>
        <v>0</v>
      </c>
      <c r="Q201" s="189">
        <v>0</v>
      </c>
      <c r="R201" s="190">
        <f t="shared" si="56"/>
        <v>14.128956451913677</v>
      </c>
    </row>
    <row r="202" spans="1:18" x14ac:dyDescent="0.25">
      <c r="A202" s="147">
        <v>3</v>
      </c>
      <c r="B202" s="182">
        <f t="shared" si="49"/>
        <v>44986</v>
      </c>
      <c r="C202" s="202">
        <f t="shared" si="64"/>
        <v>45021</v>
      </c>
      <c r="D202" s="202">
        <f t="shared" si="64"/>
        <v>45040</v>
      </c>
      <c r="E202" s="191" t="s">
        <v>17</v>
      </c>
      <c r="F202" s="147">
        <v>9</v>
      </c>
      <c r="G202" s="184">
        <v>103</v>
      </c>
      <c r="H202" s="185">
        <f t="shared" si="50"/>
        <v>5.5726951227524033</v>
      </c>
      <c r="I202" s="185">
        <f t="shared" si="63"/>
        <v>5.6947303713270712</v>
      </c>
      <c r="J202" s="186">
        <f t="shared" si="51"/>
        <v>586.55722824668828</v>
      </c>
      <c r="K202" s="187">
        <f t="shared" si="66"/>
        <v>573.98759764349757</v>
      </c>
      <c r="L202" s="188">
        <f>+J202-K202</f>
        <v>12.569630603190717</v>
      </c>
      <c r="M202" s="189">
        <f t="shared" si="52"/>
        <v>1.0311405608008641</v>
      </c>
      <c r="N202" s="190">
        <f t="shared" si="53"/>
        <v>13.600771163991581</v>
      </c>
      <c r="O202" s="189">
        <f t="shared" si="54"/>
        <v>0</v>
      </c>
      <c r="P202" s="189">
        <f t="shared" si="55"/>
        <v>0</v>
      </c>
      <c r="Q202" s="189">
        <v>0</v>
      </c>
      <c r="R202" s="190">
        <f t="shared" si="56"/>
        <v>13.600771163991581</v>
      </c>
    </row>
    <row r="203" spans="1:18" x14ac:dyDescent="0.25">
      <c r="A203" s="111">
        <v>4</v>
      </c>
      <c r="B203" s="182">
        <f t="shared" si="49"/>
        <v>45017</v>
      </c>
      <c r="C203" s="202">
        <f t="shared" si="64"/>
        <v>45049</v>
      </c>
      <c r="D203" s="202">
        <f t="shared" si="64"/>
        <v>45070</v>
      </c>
      <c r="E203" s="191" t="s">
        <v>17</v>
      </c>
      <c r="F203" s="147">
        <v>9</v>
      </c>
      <c r="G203" s="184">
        <v>98</v>
      </c>
      <c r="H203" s="185">
        <f t="shared" si="50"/>
        <v>5.5726951227524033</v>
      </c>
      <c r="I203" s="185">
        <f t="shared" si="63"/>
        <v>5.6947303713270712</v>
      </c>
      <c r="J203" s="186">
        <f t="shared" si="51"/>
        <v>558.08357639005294</v>
      </c>
      <c r="K203" s="187">
        <f t="shared" si="66"/>
        <v>546.12412202973553</v>
      </c>
      <c r="L203" s="188">
        <f t="shared" ref="L203:L211" si="67">+J203-K203</f>
        <v>11.959454360317409</v>
      </c>
      <c r="M203" s="189">
        <f t="shared" si="52"/>
        <v>0.98108519377169601</v>
      </c>
      <c r="N203" s="190">
        <f t="shared" si="53"/>
        <v>12.940539554089105</v>
      </c>
      <c r="O203" s="189">
        <f t="shared" si="54"/>
        <v>0</v>
      </c>
      <c r="P203" s="189">
        <f t="shared" si="55"/>
        <v>0</v>
      </c>
      <c r="Q203" s="189">
        <v>0</v>
      </c>
      <c r="R203" s="190">
        <f t="shared" si="56"/>
        <v>12.940539554089105</v>
      </c>
    </row>
    <row r="204" spans="1:18" x14ac:dyDescent="0.25">
      <c r="A204" s="147">
        <v>5</v>
      </c>
      <c r="B204" s="182">
        <f t="shared" si="49"/>
        <v>45047</v>
      </c>
      <c r="C204" s="202">
        <f t="shared" si="64"/>
        <v>45082</v>
      </c>
      <c r="D204" s="202">
        <f t="shared" si="64"/>
        <v>45103</v>
      </c>
      <c r="E204" s="52" t="s">
        <v>17</v>
      </c>
      <c r="F204" s="147">
        <v>9</v>
      </c>
      <c r="G204" s="184">
        <v>105</v>
      </c>
      <c r="H204" s="185">
        <f t="shared" si="50"/>
        <v>5.5726951227524033</v>
      </c>
      <c r="I204" s="185">
        <f t="shared" si="63"/>
        <v>5.6947303713270712</v>
      </c>
      <c r="J204" s="186">
        <f t="shared" si="51"/>
        <v>597.94668898934242</v>
      </c>
      <c r="K204" s="187">
        <f t="shared" si="66"/>
        <v>585.13298788900238</v>
      </c>
      <c r="L204" s="188">
        <f t="shared" si="67"/>
        <v>12.81370110034004</v>
      </c>
      <c r="M204" s="189">
        <f t="shared" si="52"/>
        <v>1.0511627076125314</v>
      </c>
      <c r="N204" s="190">
        <f t="shared" si="53"/>
        <v>13.864863807952572</v>
      </c>
      <c r="O204" s="189">
        <f t="shared" si="54"/>
        <v>0</v>
      </c>
      <c r="P204" s="189">
        <f t="shared" si="55"/>
        <v>0</v>
      </c>
      <c r="Q204" s="189">
        <v>0</v>
      </c>
      <c r="R204" s="190">
        <f t="shared" si="56"/>
        <v>13.864863807952572</v>
      </c>
    </row>
    <row r="205" spans="1:18" x14ac:dyDescent="0.25">
      <c r="A205" s="147">
        <v>6</v>
      </c>
      <c r="B205" s="182">
        <f t="shared" si="49"/>
        <v>45078</v>
      </c>
      <c r="C205" s="202">
        <f t="shared" si="64"/>
        <v>45112</v>
      </c>
      <c r="D205" s="202">
        <f t="shared" si="64"/>
        <v>45131</v>
      </c>
      <c r="E205" s="52" t="s">
        <v>17</v>
      </c>
      <c r="F205" s="147">
        <v>9</v>
      </c>
      <c r="G205" s="184">
        <v>115</v>
      </c>
      <c r="H205" s="185">
        <f t="shared" si="50"/>
        <v>5.5726951227524033</v>
      </c>
      <c r="I205" s="185">
        <f t="shared" si="63"/>
        <v>5.6947303713270712</v>
      </c>
      <c r="J205" s="186">
        <f t="shared" si="51"/>
        <v>654.89399270261322</v>
      </c>
      <c r="K205" s="187">
        <f t="shared" si="66"/>
        <v>640.85993911652633</v>
      </c>
      <c r="L205" s="192">
        <f t="shared" si="67"/>
        <v>14.034053586086884</v>
      </c>
      <c r="M205" s="189">
        <f t="shared" si="52"/>
        <v>1.1512734416708676</v>
      </c>
      <c r="N205" s="190">
        <f t="shared" si="53"/>
        <v>15.185327027757751</v>
      </c>
      <c r="O205" s="189">
        <f t="shared" si="54"/>
        <v>0</v>
      </c>
      <c r="P205" s="189">
        <f t="shared" si="55"/>
        <v>0</v>
      </c>
      <c r="Q205" s="189">
        <v>0</v>
      </c>
      <c r="R205" s="190">
        <f t="shared" si="56"/>
        <v>15.185327027757751</v>
      </c>
    </row>
    <row r="206" spans="1:18" x14ac:dyDescent="0.25">
      <c r="A206" s="111">
        <v>7</v>
      </c>
      <c r="B206" s="182">
        <f t="shared" si="49"/>
        <v>45108</v>
      </c>
      <c r="C206" s="202">
        <f t="shared" si="64"/>
        <v>45141</v>
      </c>
      <c r="D206" s="202">
        <f t="shared" si="64"/>
        <v>45162</v>
      </c>
      <c r="E206" s="52" t="s">
        <v>17</v>
      </c>
      <c r="F206" s="147">
        <v>9</v>
      </c>
      <c r="G206" s="184">
        <v>110</v>
      </c>
      <c r="H206" s="185">
        <f t="shared" si="50"/>
        <v>5.5726951227524033</v>
      </c>
      <c r="I206" s="185">
        <f t="shared" si="63"/>
        <v>5.6947303713270712</v>
      </c>
      <c r="J206" s="186">
        <f t="shared" si="51"/>
        <v>626.42034084597788</v>
      </c>
      <c r="K206" s="193">
        <f t="shared" si="66"/>
        <v>612.99646350276441</v>
      </c>
      <c r="L206" s="192">
        <f t="shared" si="67"/>
        <v>13.423877343213462</v>
      </c>
      <c r="M206" s="189">
        <f t="shared" si="52"/>
        <v>1.1012180746416997</v>
      </c>
      <c r="N206" s="190">
        <f t="shared" si="53"/>
        <v>14.525095417855162</v>
      </c>
      <c r="O206" s="189">
        <f t="shared" si="54"/>
        <v>0</v>
      </c>
      <c r="P206" s="189">
        <f t="shared" si="55"/>
        <v>0</v>
      </c>
      <c r="Q206" s="189">
        <v>0</v>
      </c>
      <c r="R206" s="190">
        <f t="shared" si="56"/>
        <v>14.525095417855162</v>
      </c>
    </row>
    <row r="207" spans="1:18" x14ac:dyDescent="0.25">
      <c r="A207" s="147">
        <v>8</v>
      </c>
      <c r="B207" s="182">
        <f t="shared" si="49"/>
        <v>45139</v>
      </c>
      <c r="C207" s="202">
        <f t="shared" si="64"/>
        <v>45174</v>
      </c>
      <c r="D207" s="202">
        <f t="shared" si="64"/>
        <v>45194</v>
      </c>
      <c r="E207" s="52" t="s">
        <v>17</v>
      </c>
      <c r="F207" s="147">
        <v>9</v>
      </c>
      <c r="G207" s="184">
        <v>109</v>
      </c>
      <c r="H207" s="185">
        <f t="shared" si="50"/>
        <v>5.5726951227524033</v>
      </c>
      <c r="I207" s="185">
        <f t="shared" si="63"/>
        <v>5.6947303713270712</v>
      </c>
      <c r="J207" s="186">
        <f t="shared" si="51"/>
        <v>620.72561047465081</v>
      </c>
      <c r="K207" s="193">
        <f t="shared" si="66"/>
        <v>607.42376838001201</v>
      </c>
      <c r="L207" s="192">
        <f t="shared" si="67"/>
        <v>13.301842094638801</v>
      </c>
      <c r="M207" s="189">
        <f t="shared" si="52"/>
        <v>1.0912070012358659</v>
      </c>
      <c r="N207" s="190">
        <f t="shared" si="53"/>
        <v>14.393049095874666</v>
      </c>
      <c r="O207" s="189">
        <f t="shared" si="54"/>
        <v>0</v>
      </c>
      <c r="P207" s="189">
        <f t="shared" si="55"/>
        <v>0</v>
      </c>
      <c r="Q207" s="189">
        <v>0</v>
      </c>
      <c r="R207" s="190">
        <f t="shared" si="56"/>
        <v>14.393049095874666</v>
      </c>
    </row>
    <row r="208" spans="1:18" x14ac:dyDescent="0.25">
      <c r="A208" s="147">
        <v>9</v>
      </c>
      <c r="B208" s="182">
        <f t="shared" si="49"/>
        <v>45170</v>
      </c>
      <c r="C208" s="202">
        <f t="shared" si="64"/>
        <v>45203</v>
      </c>
      <c r="D208" s="202">
        <f t="shared" si="64"/>
        <v>45223</v>
      </c>
      <c r="E208" s="52" t="s">
        <v>17</v>
      </c>
      <c r="F208" s="147">
        <v>9</v>
      </c>
      <c r="G208" s="184">
        <v>112</v>
      </c>
      <c r="H208" s="185">
        <f t="shared" si="50"/>
        <v>5.5726951227524033</v>
      </c>
      <c r="I208" s="185">
        <f t="shared" si="63"/>
        <v>5.6947303713270712</v>
      </c>
      <c r="J208" s="186">
        <f t="shared" si="51"/>
        <v>637.80980158863201</v>
      </c>
      <c r="K208" s="193">
        <f t="shared" si="66"/>
        <v>624.14185374826911</v>
      </c>
      <c r="L208" s="192">
        <f t="shared" si="67"/>
        <v>13.667947840362899</v>
      </c>
      <c r="M208" s="189">
        <f t="shared" si="52"/>
        <v>1.121240221453367</v>
      </c>
      <c r="N208" s="190">
        <f t="shared" si="53"/>
        <v>14.789188061816265</v>
      </c>
      <c r="O208" s="189">
        <f t="shared" si="54"/>
        <v>0</v>
      </c>
      <c r="P208" s="189">
        <f t="shared" si="55"/>
        <v>0</v>
      </c>
      <c r="Q208" s="189">
        <v>0</v>
      </c>
      <c r="R208" s="190">
        <f t="shared" si="56"/>
        <v>14.789188061816265</v>
      </c>
    </row>
    <row r="209" spans="1:18" x14ac:dyDescent="0.25">
      <c r="A209" s="111">
        <v>10</v>
      </c>
      <c r="B209" s="182">
        <f t="shared" si="49"/>
        <v>45200</v>
      </c>
      <c r="C209" s="202">
        <f t="shared" si="64"/>
        <v>45233</v>
      </c>
      <c r="D209" s="202">
        <f t="shared" si="64"/>
        <v>45254</v>
      </c>
      <c r="E209" s="52" t="s">
        <v>17</v>
      </c>
      <c r="F209" s="147">
        <v>9</v>
      </c>
      <c r="G209" s="184">
        <v>107</v>
      </c>
      <c r="H209" s="185">
        <f t="shared" si="50"/>
        <v>5.5726951227524033</v>
      </c>
      <c r="I209" s="185">
        <f t="shared" si="63"/>
        <v>5.6947303713270712</v>
      </c>
      <c r="J209" s="186">
        <f t="shared" si="51"/>
        <v>609.33614973199667</v>
      </c>
      <c r="K209" s="193">
        <f t="shared" si="66"/>
        <v>596.27837813450719</v>
      </c>
      <c r="L209" s="192">
        <f t="shared" si="67"/>
        <v>13.057771597489477</v>
      </c>
      <c r="M209" s="189">
        <f t="shared" si="52"/>
        <v>1.0711848544241986</v>
      </c>
      <c r="N209" s="190">
        <f t="shared" si="53"/>
        <v>14.128956451913677</v>
      </c>
      <c r="O209" s="189">
        <f t="shared" si="54"/>
        <v>0</v>
      </c>
      <c r="P209" s="189">
        <f t="shared" si="55"/>
        <v>0</v>
      </c>
      <c r="Q209" s="189">
        <v>0</v>
      </c>
      <c r="R209" s="190">
        <f t="shared" si="56"/>
        <v>14.128956451913677</v>
      </c>
    </row>
    <row r="210" spans="1:18" x14ac:dyDescent="0.25">
      <c r="A210" s="147">
        <v>11</v>
      </c>
      <c r="B210" s="182">
        <f t="shared" si="49"/>
        <v>45231</v>
      </c>
      <c r="C210" s="202">
        <f t="shared" si="64"/>
        <v>45266</v>
      </c>
      <c r="D210" s="202">
        <f t="shared" si="64"/>
        <v>45285</v>
      </c>
      <c r="E210" s="52" t="s">
        <v>17</v>
      </c>
      <c r="F210" s="147">
        <v>9</v>
      </c>
      <c r="G210" s="184">
        <v>104</v>
      </c>
      <c r="H210" s="185">
        <f t="shared" si="50"/>
        <v>5.5726951227524033</v>
      </c>
      <c r="I210" s="185">
        <f t="shared" si="63"/>
        <v>5.6947303713270712</v>
      </c>
      <c r="J210" s="186">
        <f t="shared" si="51"/>
        <v>592.25195861801535</v>
      </c>
      <c r="K210" s="193">
        <f>+$G210*H210</f>
        <v>579.56029276624997</v>
      </c>
      <c r="L210" s="192">
        <f t="shared" si="67"/>
        <v>12.691665851765379</v>
      </c>
      <c r="M210" s="189">
        <f t="shared" si="52"/>
        <v>1.0411516342066978</v>
      </c>
      <c r="N210" s="190">
        <f t="shared" si="53"/>
        <v>13.732817485972076</v>
      </c>
      <c r="O210" s="189">
        <f t="shared" si="54"/>
        <v>0</v>
      </c>
      <c r="P210" s="189">
        <f t="shared" si="55"/>
        <v>0</v>
      </c>
      <c r="Q210" s="189">
        <v>0</v>
      </c>
      <c r="R210" s="190">
        <f t="shared" si="56"/>
        <v>13.732817485972076</v>
      </c>
    </row>
    <row r="211" spans="1:18" s="206" customFormat="1" x14ac:dyDescent="0.25">
      <c r="A211" s="147">
        <v>12</v>
      </c>
      <c r="B211" s="204">
        <f t="shared" si="49"/>
        <v>45261</v>
      </c>
      <c r="C211" s="207">
        <f t="shared" si="64"/>
        <v>45294</v>
      </c>
      <c r="D211" s="207">
        <f t="shared" si="64"/>
        <v>45315</v>
      </c>
      <c r="E211" s="205" t="s">
        <v>17</v>
      </c>
      <c r="F211" s="158">
        <v>9</v>
      </c>
      <c r="G211" s="184">
        <v>101</v>
      </c>
      <c r="H211" s="194">
        <f t="shared" si="50"/>
        <v>5.5726951227524033</v>
      </c>
      <c r="I211" s="194">
        <f t="shared" si="63"/>
        <v>5.6947303713270712</v>
      </c>
      <c r="J211" s="195">
        <f t="shared" si="51"/>
        <v>575.16776750403415</v>
      </c>
      <c r="K211" s="196">
        <f>+$G211*H211</f>
        <v>562.84220739799275</v>
      </c>
      <c r="L211" s="197">
        <f t="shared" si="67"/>
        <v>12.325560106041394</v>
      </c>
      <c r="M211" s="195">
        <f t="shared" si="52"/>
        <v>1.0111184139891969</v>
      </c>
      <c r="N211" s="190">
        <f t="shared" si="53"/>
        <v>13.33667852003059</v>
      </c>
      <c r="O211" s="195">
        <f t="shared" si="54"/>
        <v>0</v>
      </c>
      <c r="P211" s="212">
        <f t="shared" si="55"/>
        <v>0</v>
      </c>
      <c r="Q211" s="189">
        <v>0</v>
      </c>
      <c r="R211" s="190">
        <f t="shared" si="56"/>
        <v>13.33667852003059</v>
      </c>
    </row>
    <row r="212" spans="1:18" x14ac:dyDescent="0.25">
      <c r="G212" s="213">
        <f>SUM(G20:G211)</f>
        <v>102178</v>
      </c>
      <c r="H212" s="49"/>
      <c r="I212" s="49"/>
      <c r="J212" s="49">
        <f>SUM(J20:J211)</f>
        <v>581876.15988145745</v>
      </c>
      <c r="K212" s="49">
        <f>SUM(K20:K211)</f>
        <v>569406.84225259488</v>
      </c>
      <c r="L212" s="49">
        <f>SUM(L20:L211)</f>
        <v>12469.317628862409</v>
      </c>
      <c r="M212" s="49">
        <f>SUM(M20:M211)</f>
        <v>1022.9114584612689</v>
      </c>
      <c r="N212" s="49"/>
      <c r="O212" s="49"/>
      <c r="P212" s="49">
        <f>SUM(P20:P211)</f>
        <v>0</v>
      </c>
      <c r="Q212" s="49"/>
      <c r="R212" s="214">
        <f>SUM(R20:R211)</f>
        <v>13492.22908732368</v>
      </c>
    </row>
    <row r="213" spans="1:18" x14ac:dyDescent="0.25">
      <c r="P213" s="49"/>
      <c r="Q213" s="49"/>
    </row>
    <row r="220" spans="1:18" x14ac:dyDescent="0.25">
      <c r="D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</sheetData>
  <mergeCells count="4">
    <mergeCell ref="G2:H2"/>
    <mergeCell ref="G3:H3"/>
    <mergeCell ref="G7:H7"/>
    <mergeCell ref="G8:H8"/>
  </mergeCells>
  <phoneticPr fontId="0" type="noConversion"/>
  <pageMargins left="0.5" right="0.5" top="1.05" bottom="1" header="0.31" footer="0.5"/>
  <pageSetup scale="77" fitToWidth="2" fitToHeight="0" orientation="landscape" cellComments="asDisplayed" r:id="rId1"/>
  <headerFooter alignWithMargins="0">
    <oddHeader>&amp;R&amp;F  &amp;A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YXV0b1NlbGVjdGVkU3VnZ2VzdGlvbiI+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Tc3MDQwPC9Vc2VyTmFtZT48RGF0ZVRpbWU+NC80LzIwMjIgMzoxNjozMyBQTTwvRGF0ZVRpbWU+PExhYmVsU3RyaW5nPkFFUCBJbnRlcm5hbDwvTGFiZWxTdHJpbmc+PC9pdGVtPjxpdGVtPjxzaXNsIHNpc2xWZXJzaW9uPSIwIiBwb2xpY3k9ImU5YzBiOGQ3LWJkYjQtNGZkMy1iNjJhLWY1MDMyN2FhZWZjZSIgb3JpZ2luPSJ1c2VyU2VsZWN0ZWQiPjxlbGVtZW50IHVpZD0iNTBjMzE4MjQtMDc4MC00OTEwLTg3ZDEtZWFhZmZkMTgyZDQyIiB2YWx1ZT0iIiB4bWxucz0iaHR0cDovL3d3dy5ib2xkb25qYW1lcy5jb20vMjAwOC8wMS9zaWUvaW50ZXJuYWwvbGFiZWwiIC8+PC9zaXNsPjxVc2VyTmFtZT5DT1JQXHMxNzcwNDA8L1VzZXJOYW1lPjxEYXRlVGltZT41LzIzLzIwMjIgNTozNzo1NSBQTTwvRGF0ZVRpbWU+PExhYmVsU3RyaW5nPkFFUCBJbnRlcm5hbD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DB602648-4C77-4990-94F7-6C9A49714C17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88FC2914-AA1F-485E-909C-FF6480B87F1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Instructions</vt:lpstr>
      <vt:lpstr>Summary</vt:lpstr>
      <vt:lpstr>Pivot</vt:lpstr>
      <vt:lpstr>Transactions</vt:lpstr>
      <vt:lpstr>Transactions!AS1_1999</vt:lpstr>
      <vt:lpstr>Instructions!Print_Area</vt:lpstr>
      <vt:lpstr>Summary!Print_Area</vt:lpstr>
      <vt:lpstr>Transactions!Print_Area</vt:lpstr>
      <vt:lpstr>Pivot!Print_Titles</vt:lpstr>
      <vt:lpstr>Transactions!Print_Titles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Williamson</dc:creator>
  <cp:keywords/>
  <cp:lastModifiedBy>Allyson L Keaton</cp:lastModifiedBy>
  <cp:lastPrinted>2023-05-25T11:54:55Z</cp:lastPrinted>
  <dcterms:created xsi:type="dcterms:W3CDTF">2009-09-04T18:19:13Z</dcterms:created>
  <dcterms:modified xsi:type="dcterms:W3CDTF">2024-05-24T13:54:08Z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34117f76-9879-4d8e-89bd-ac1b4323c64e</vt:lpwstr>
  </property>
  <property fmtid="{D5CDD505-2E9C-101B-9397-08002B2CF9AE}" pid="3" name="bjSaver">
    <vt:lpwstr>clRxCTTKA7z930TtRLwKph96GxWYXtbn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bjClsUserRVM">
    <vt:lpwstr>[]</vt:lpwstr>
  </property>
  <property fmtid="{D5CDD505-2E9C-101B-9397-08002B2CF9AE}" pid="7" name="MSIP_Label_69f43042-6bda-44b2-91eb-eca3d3d484f4_SiteId">
    <vt:lpwstr>15f3c881-6b03-4ff6-8559-77bf5177818f</vt:lpwstr>
  </property>
  <property fmtid="{D5CDD505-2E9C-101B-9397-08002B2CF9AE}" pid="8" name="MSIP_Label_69f43042-6bda-44b2-91eb-eca3d3d484f4_Name">
    <vt:lpwstr>AEP Internal</vt:lpwstr>
  </property>
  <property fmtid="{D5CDD505-2E9C-101B-9397-08002B2CF9AE}" pid="9" name="MSIP_Label_69f43042-6bda-44b2-91eb-eca3d3d484f4_Enabled">
    <vt:lpwstr>true</vt:lpwstr>
  </property>
  <property fmtid="{D5CDD505-2E9C-101B-9397-08002B2CF9AE}" pid="10" name="bjLabelHistoryID">
    <vt:lpwstr>{DB602648-4C77-4990-94F7-6C9A49714C17}</vt:lpwstr>
  </property>
  <property fmtid="{D5CDD505-2E9C-101B-9397-08002B2CF9AE}" pid="11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2" name="bjDocumentLabelXML-0">
    <vt:lpwstr>ames.com/2008/01/sie/internal/label"&gt;&lt;element uid="50c31824-0780-4910-87d1-eaaffd182d42" value="" /&gt;&lt;/sisl&gt;</vt:lpwstr>
  </property>
</Properties>
</file>